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8" activeTab="19"/>
  </bookViews>
  <sheets>
    <sheet name="L1" sheetId="1" r:id="rId1"/>
    <sheet name="L2" sheetId="2" r:id="rId2"/>
    <sheet name="L4" sheetId="3" r:id="rId3"/>
    <sheet name="L5" sheetId="4" r:id="rId4"/>
    <sheet name="L6" sheetId="5" r:id="rId5"/>
    <sheet name="L7" sheetId="6" r:id="rId6"/>
    <sheet name="L10" sheetId="7" r:id="rId7"/>
    <sheet name="L11" sheetId="8" r:id="rId8"/>
    <sheet name="L15" sheetId="9" r:id="rId9"/>
    <sheet name="L16" sheetId="10" r:id="rId10"/>
    <sheet name="L17" sheetId="11" r:id="rId11"/>
    <sheet name="L24" sheetId="12" r:id="rId12"/>
    <sheet name="L32" sheetId="13" r:id="rId13"/>
    <sheet name="L33" sheetId="14" r:id="rId14"/>
    <sheet name="L37FPI" sheetId="15" r:id="rId15"/>
    <sheet name="L37Lives" sheetId="16" r:id="rId16"/>
    <sheet name="L38 FPI" sheetId="17" r:id="rId17"/>
    <sheet name="L38 NOP" sheetId="18" r:id="rId18"/>
    <sheet name="L39" sheetId="19" r:id="rId19"/>
    <sheet name="L40" sheetId="20" r:id="rId20"/>
  </sheets>
  <definedNames/>
  <calcPr fullCalcOnLoad="1"/>
</workbook>
</file>

<file path=xl/sharedStrings.xml><?xml version="1.0" encoding="utf-8"?>
<sst xmlns="http://schemas.openxmlformats.org/spreadsheetml/2006/main" count="2631" uniqueCount="472">
  <si>
    <t>Particulars</t>
  </si>
  <si>
    <t>Private Total</t>
  </si>
  <si>
    <t>Grand Total</t>
  </si>
  <si>
    <t>For Q3 1718</t>
  </si>
  <si>
    <t>Upto Q3 1819</t>
  </si>
  <si>
    <t>Upto Q3 1718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</si>
  <si>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</si>
  <si>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</si>
  <si>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</si>
  <si>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</si>
  <si>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</si>
  <si>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</si>
  <si>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Others (only)</t>
  </si>
  <si>
    <t>Total(A)</t>
  </si>
  <si>
    <t>Referral  (B)</t>
  </si>
  <si>
    <t>Grand Total (A+B)</t>
  </si>
  <si>
    <t>L37:BUSINESS ACQUISITION THROUGH DIFFERENT CHANNELS (GROUP) Lives</t>
  </si>
  <si>
    <t>Channels</t>
  </si>
  <si>
    <t>CSC</t>
  </si>
  <si>
    <t>POS</t>
  </si>
  <si>
    <t>IMF</t>
  </si>
  <si>
    <t>Online</t>
  </si>
  <si>
    <t>Web Aggregators</t>
  </si>
  <si>
    <t>Total (A)</t>
  </si>
  <si>
    <t>Premiums earned - Net</t>
  </si>
  <si>
    <t>(a) Premium</t>
  </si>
  <si>
    <t>Direct   -  First year premiums</t>
  </si>
  <si>
    <t xml:space="preserve">           -  Renewal premiums</t>
  </si>
  <si>
    <t xml:space="preserve">           -  Single premiums</t>
  </si>
  <si>
    <t>Total premium</t>
  </si>
  <si>
    <t>Premium Income from business written:</t>
  </si>
  <si>
    <t>- In India</t>
  </si>
  <si>
    <t>- Outside India</t>
  </si>
  <si>
    <t>Insurance claims</t>
  </si>
  <si>
    <t>(a) Claims by death</t>
  </si>
  <si>
    <t>(b) Claims by maturity</t>
  </si>
  <si>
    <t>(c) Annuities  /  Pension payment</t>
  </si>
  <si>
    <t>(d) Others</t>
  </si>
  <si>
    <t>Survival Benefits</t>
  </si>
  <si>
    <t xml:space="preserve">- Surrender </t>
  </si>
  <si>
    <t xml:space="preserve">- Discontinuance/Lapsed Termination </t>
  </si>
  <si>
    <t xml:space="preserve">- Withdrawals </t>
  </si>
  <si>
    <t xml:space="preserve">- Rider </t>
  </si>
  <si>
    <t xml:space="preserve">- Health </t>
  </si>
  <si>
    <t>Lumpsum Benefit/Income Benefit(Installment)</t>
  </si>
  <si>
    <t>Bonus to Policyholders</t>
  </si>
  <si>
    <t>Vesting of pension policy</t>
  </si>
  <si>
    <t>Waiver of Premium</t>
  </si>
  <si>
    <t xml:space="preserve">- Interest on unclaimed amounts  </t>
  </si>
  <si>
    <t>Claim Investigation Fees</t>
  </si>
  <si>
    <t xml:space="preserve">- Others </t>
  </si>
  <si>
    <t>(Amount ceded in reinsurance)</t>
  </si>
  <si>
    <t>(c) Annuities  /  pension payment</t>
  </si>
  <si>
    <t>(d) Other benefits/Health</t>
  </si>
  <si>
    <t>(e) Riders</t>
  </si>
  <si>
    <t>Amount accepted in reinsurance</t>
  </si>
  <si>
    <t>(d) Other benefits</t>
  </si>
  <si>
    <t>Total</t>
  </si>
  <si>
    <t>Benefits paid to Claimants</t>
  </si>
  <si>
    <t>In India</t>
  </si>
  <si>
    <t>Outside India</t>
  </si>
  <si>
    <t>L4:PREMIUM SCHEDULE</t>
  </si>
  <si>
    <t>(in 000)</t>
  </si>
  <si>
    <t>Commission</t>
  </si>
  <si>
    <t>Direct    -  First year premiums</t>
  </si>
  <si>
    <t xml:space="preserve">              -  Renewal premiums</t>
  </si>
  <si>
    <t xml:space="preserve">              -  Single premiums</t>
  </si>
  <si>
    <t>Add: Commission on Re-insurance accepted</t>
  </si>
  <si>
    <t>Less: Commission on Re-insurance ceded</t>
  </si>
  <si>
    <t>Net commission</t>
  </si>
  <si>
    <t xml:space="preserve">Break-up of the commission expenses (Gross) </t>
  </si>
  <si>
    <t>incurred to procure business:</t>
  </si>
  <si>
    <t>Agents</t>
  </si>
  <si>
    <t>Corporate agency</t>
  </si>
  <si>
    <t>Bancassurance</t>
  </si>
  <si>
    <t>Micro Insurance Agent</t>
  </si>
  <si>
    <t>Web Aggregator</t>
  </si>
  <si>
    <t>Referral</t>
  </si>
  <si>
    <t>Others</t>
  </si>
  <si>
    <t>(Amount in '000)</t>
  </si>
  <si>
    <t xml:space="preserve">Employees' remuneration &amp; welfare benefits </t>
  </si>
  <si>
    <t>Travel, conveyance and vehicle running expenses</t>
  </si>
  <si>
    <t>Training expenses</t>
  </si>
  <si>
    <t xml:space="preserve">Rent, rates &amp; taxes </t>
  </si>
  <si>
    <t>Repairs</t>
  </si>
  <si>
    <t>Printing &amp; stationery</t>
  </si>
  <si>
    <t>Communication expenses</t>
  </si>
  <si>
    <t>Legal &amp; professional charges</t>
  </si>
  <si>
    <t>Medical fees</t>
  </si>
  <si>
    <t>Auditors' fees,expenses,etc.</t>
  </si>
  <si>
    <t>(a) as auditor</t>
  </si>
  <si>
    <t>(b) as adviser or in any other capacity,in respect of</t>
  </si>
  <si>
    <t xml:space="preserve">      (i) Taxation matters</t>
  </si>
  <si>
    <t xml:space="preserve">      (ii) Insurance matters</t>
  </si>
  <si>
    <t xml:space="preserve">      (iii)Management services; certification fee</t>
  </si>
  <si>
    <t>(c) in any other capacity</t>
  </si>
  <si>
    <t xml:space="preserve">(d) Out of pocket expenses </t>
  </si>
  <si>
    <t>Advertisement, Publicity and marketing</t>
  </si>
  <si>
    <t>Interest &amp; bank charges</t>
  </si>
  <si>
    <t xml:space="preserve">Agent Recruitment expenses </t>
  </si>
  <si>
    <t>Information technology expenses</t>
  </si>
  <si>
    <t>Goods and Service Tax/ Service Tax</t>
  </si>
  <si>
    <t>Stamp duty on policies</t>
  </si>
  <si>
    <t>Depreciation</t>
  </si>
  <si>
    <t>(Profit)/Loss on sale of Assests</t>
  </si>
  <si>
    <t>Distribution Expenses</t>
  </si>
  <si>
    <t>Business promotion expenses</t>
  </si>
  <si>
    <t>Business Processing Services</t>
  </si>
  <si>
    <t xml:space="preserve">Office Expenses </t>
  </si>
  <si>
    <t>Electricity</t>
  </si>
  <si>
    <t xml:space="preserve">Recruitment expenses </t>
  </si>
  <si>
    <t>Other expenses</t>
  </si>
  <si>
    <t>outsourcing expenses</t>
  </si>
  <si>
    <t>Contribution from Sharehoders Account towards Expense of Management</t>
  </si>
  <si>
    <t>L-32:SOLVENCY MARGIN</t>
  </si>
  <si>
    <t>Description</t>
  </si>
  <si>
    <t>Available Assets in Policyholders' Fund:</t>
  </si>
  <si>
    <t>Deduct:</t>
  </si>
  <si>
    <t xml:space="preserve">Mathematical Reserves </t>
  </si>
  <si>
    <t xml:space="preserve">Other Liabilities </t>
  </si>
  <si>
    <t xml:space="preserve">Available Assets in Shareholders Fund: </t>
  </si>
  <si>
    <t>Other Liabilities of shareholders' fund</t>
  </si>
  <si>
    <t>Total ASM (04)+(07)</t>
  </si>
  <si>
    <t>Total RSM</t>
  </si>
  <si>
    <t>Solvency Ratio (ASM/RSM)</t>
  </si>
  <si>
    <t>Claims Experience</t>
  </si>
  <si>
    <t>For Death</t>
  </si>
  <si>
    <t>For Maturity</t>
  </si>
  <si>
    <t>Survival Benefit</t>
  </si>
  <si>
    <t>For Annuities/ Pension</t>
  </si>
  <si>
    <t>For Surrender</t>
  </si>
  <si>
    <t>Other Benefits*</t>
  </si>
  <si>
    <t>Claims O/S at the beginning of the period</t>
  </si>
  <si>
    <t>Unclaimed adjusted from Opening Balance</t>
  </si>
  <si>
    <t>Claims reported during the period</t>
  </si>
  <si>
    <t>Claims Repudiated during the period</t>
  </si>
  <si>
    <t>a)  Less than 2 years from the date of acceptance of risk</t>
  </si>
  <si>
    <t>b) Greater than 2 year from the date of acceptance of risk</t>
  </si>
  <si>
    <t>Claim Rejected</t>
  </si>
  <si>
    <t>Claims Written Back</t>
  </si>
  <si>
    <t>Claims Unclaimed</t>
  </si>
  <si>
    <t>Claims O/S at End of the period</t>
  </si>
  <si>
    <t>Less than  3months</t>
  </si>
  <si>
    <t>3 months to 6 months</t>
  </si>
  <si>
    <t>6 months to 1 year</t>
  </si>
  <si>
    <t>1 year and above</t>
  </si>
  <si>
    <r>
      <rPr>
        <sz val="9"/>
        <rFont val="Comic Sans MS"/>
        <family val="4"/>
      </rPr>
      <t>Surplus/ (Deficit) from Policyholders Accounts</t>
    </r>
  </si>
  <si>
    <r>
      <rPr>
        <sz val="9"/>
        <rFont val="Comic Sans MS"/>
        <family val="4"/>
      </rPr>
      <t>Income from Investments</t>
    </r>
  </si>
  <si>
    <r>
      <rPr>
        <sz val="9"/>
        <rFont val="Comic Sans MS"/>
        <family val="4"/>
      </rPr>
      <t>(a) Interest, Dividend &amp; Rent -  Gross</t>
    </r>
  </si>
  <si>
    <r>
      <rPr>
        <sz val="9"/>
        <rFont val="Comic Sans MS"/>
        <family val="4"/>
      </rPr>
      <t>(b) Profit on sale / redemption of investments</t>
    </r>
  </si>
  <si>
    <r>
      <rPr>
        <sz val="9"/>
        <rFont val="Comic Sans MS"/>
        <family val="4"/>
      </rPr>
      <t>(c) (Loss on sale / redemption of investments)</t>
    </r>
  </si>
  <si>
    <r>
      <rPr>
        <sz val="9"/>
        <rFont val="Comic Sans MS"/>
        <family val="4"/>
      </rPr>
      <t>(d) Accretion of discount/(amortisation of premium) (net)</t>
    </r>
  </si>
  <si>
    <r>
      <rPr>
        <sz val="9"/>
        <rFont val="Comic Sans MS"/>
        <family val="4"/>
      </rPr>
      <t>Other Income</t>
    </r>
  </si>
  <si>
    <r>
      <rPr>
        <sz val="9"/>
        <rFont val="Comic Sans MS"/>
        <family val="4"/>
      </rPr>
      <t>Expenses other than those directly related to the insurance business</t>
    </r>
  </si>
  <si>
    <r>
      <rPr>
        <sz val="9"/>
        <rFont val="Comic Sans MS"/>
        <family val="4"/>
      </rPr>
      <t>(a) Rates and Taxes</t>
    </r>
  </si>
  <si>
    <r>
      <rPr>
        <sz val="9"/>
        <rFont val="Comic Sans MS"/>
        <family val="4"/>
      </rPr>
      <t>(b) Directors' Sitting Fees</t>
    </r>
  </si>
  <si>
    <r>
      <rPr>
        <sz val="9"/>
        <rFont val="Comic Sans MS"/>
        <family val="4"/>
      </rPr>
      <t>(c) Board Meeting Related Expenses</t>
    </r>
  </si>
  <si>
    <r>
      <rPr>
        <sz val="9"/>
        <rFont val="Comic Sans MS"/>
        <family val="4"/>
      </rPr>
      <t>(d) Depreciation</t>
    </r>
  </si>
  <si>
    <r>
      <rPr>
        <sz val="9"/>
        <rFont val="Comic Sans MS"/>
        <family val="4"/>
      </rPr>
      <t>(e) Other expenses</t>
    </r>
  </si>
  <si>
    <r>
      <rPr>
        <sz val="9"/>
        <rFont val="Comic Sans MS"/>
        <family val="4"/>
      </rPr>
      <t>(f) Corporate Social Responsibility expenses</t>
    </r>
  </si>
  <si>
    <r>
      <rPr>
        <sz val="9"/>
        <rFont val="Comic Sans MS"/>
        <family val="4"/>
      </rPr>
      <t>Bad debts written off</t>
    </r>
  </si>
  <si>
    <r>
      <rPr>
        <sz val="9"/>
        <rFont val="Comic Sans MS"/>
        <family val="4"/>
      </rPr>
      <t>Contribution to the Policyholders' Fund</t>
    </r>
  </si>
  <si>
    <r>
      <rPr>
        <sz val="9"/>
        <rFont val="Comic Sans MS"/>
        <family val="4"/>
      </rPr>
      <t>Provisions (Other than taxation)</t>
    </r>
  </si>
  <si>
    <r>
      <rPr>
        <sz val="9"/>
        <rFont val="Comic Sans MS"/>
        <family val="4"/>
      </rPr>
      <t>(a) For diminution in the value of investment (net)</t>
    </r>
  </si>
  <si>
    <r>
      <rPr>
        <sz val="9"/>
        <rFont val="Comic Sans MS"/>
        <family val="4"/>
      </rPr>
      <t>(b) Provision for doubtful debts</t>
    </r>
  </si>
  <si>
    <r>
      <rPr>
        <sz val="9"/>
        <rFont val="Comic Sans MS"/>
        <family val="4"/>
      </rPr>
      <t>Profit / (Loss) before tax</t>
    </r>
  </si>
  <si>
    <r>
      <rPr>
        <sz val="9"/>
        <rFont val="Comic Sans MS"/>
        <family val="4"/>
      </rPr>
      <t>Provision for Taxation</t>
    </r>
  </si>
  <si>
    <t>Deferred Tax credit/(charge)</t>
  </si>
  <si>
    <r>
      <rPr>
        <sz val="9"/>
        <rFont val="Comic Sans MS"/>
        <family val="4"/>
      </rPr>
      <t>-Income Tax</t>
    </r>
  </si>
  <si>
    <r>
      <rPr>
        <sz val="9"/>
        <rFont val="Comic Sans MS"/>
        <family val="4"/>
      </rPr>
      <t>Profit / (Loss) after tax</t>
    </r>
  </si>
  <si>
    <t>APPROPRIATIONS</t>
  </si>
  <si>
    <r>
      <rPr>
        <sz val="9"/>
        <rFont val="Comic Sans MS"/>
        <family val="4"/>
      </rPr>
      <t>(a) Balance at the beginning of the period</t>
    </r>
  </si>
  <si>
    <r>
      <rPr>
        <sz val="9"/>
        <rFont val="Comic Sans MS"/>
        <family val="4"/>
      </rPr>
      <t>(b) Interim dividend paid during the period</t>
    </r>
  </si>
  <si>
    <t>(c) Proposed final/interim dividend</t>
  </si>
  <si>
    <r>
      <rPr>
        <sz val="9"/>
        <rFont val="Comic Sans MS"/>
        <family val="4"/>
      </rPr>
      <t>(d) Dividend distribution tax</t>
    </r>
  </si>
  <si>
    <r>
      <rPr>
        <sz val="9"/>
        <rFont val="Comic Sans MS"/>
        <family val="4"/>
      </rPr>
      <t>(e) Transfer to reserves / other accounts</t>
    </r>
  </si>
  <si>
    <t>Profit / (Loss) carried to the Balance Sheet</t>
  </si>
  <si>
    <r>
      <rPr>
        <b/>
        <sz val="9"/>
        <rFont val="Comic Sans MS"/>
        <family val="4"/>
      </rPr>
      <t>EARNINGS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PER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EQUITY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SHARE</t>
    </r>
    <r>
      <rPr>
        <sz val="9"/>
        <rFont val="Comic Sans MS"/>
        <family val="4"/>
      </rPr>
      <t xml:space="preserve"> </t>
    </r>
    <r>
      <rPr>
        <b/>
        <sz val="9"/>
        <rFont val="Comic Sans MS"/>
        <family val="4"/>
      </rPr>
      <t>(in</t>
    </r>
    <r>
      <rPr>
        <sz val="9"/>
        <rFont val="Comic Sans MS"/>
        <family val="4"/>
      </rPr>
      <t xml:space="preserve"> `</t>
    </r>
    <r>
      <rPr>
        <b/>
        <sz val="9"/>
        <rFont val="Comic Sans MS"/>
        <family val="4"/>
      </rPr>
      <t>)</t>
    </r>
  </si>
  <si>
    <r>
      <rPr>
        <sz val="9"/>
        <rFont val="Comic Sans MS"/>
        <family val="4"/>
      </rPr>
      <t>(Face Value ` 10/- per share)</t>
    </r>
  </si>
  <si>
    <t>Basic</t>
  </si>
  <si>
    <t>Diluted</t>
  </si>
  <si>
    <t>Loans</t>
  </si>
  <si>
    <t>Cash and bank balances</t>
  </si>
  <si>
    <t>L2:PROFIT &amp; LOSS ACCOUNT</t>
  </si>
  <si>
    <t>Figures in '000'</t>
  </si>
  <si>
    <t>L5:COMMISSION SCHEDULE</t>
  </si>
  <si>
    <t>L7:BENEFITS PAID SCHEDULE</t>
  </si>
  <si>
    <t>L6:Operating Expenses Schedule Related to Insurance Business</t>
  </si>
  <si>
    <t>Figures in Crores</t>
  </si>
  <si>
    <t xml:space="preserve">L38:BUSINESS ACQUISITION (Individual) Number of Policies </t>
  </si>
  <si>
    <t>Aditya Birla Sun Life Insurance Company Limited</t>
  </si>
  <si>
    <t>Aegon Life Insurance Company Limited</t>
  </si>
  <si>
    <t>Aviva Life Insurance Company India Private Limited</t>
  </si>
  <si>
    <t>Bajaj Allianz Life Insurance Company Limited</t>
  </si>
  <si>
    <t>Bharti AXA Life Insurance Private Limited</t>
  </si>
  <si>
    <t>Canara HSBC Oriental Bank of Commerce Life Insurance Company Limited</t>
  </si>
  <si>
    <t>DHFL Pramerica Life Insurance Company Limited</t>
  </si>
  <si>
    <t>Edelweiss Tokio Life Insurance Company Limited</t>
  </si>
  <si>
    <t>Exide life Insurance Company Limited</t>
  </si>
  <si>
    <t>Future Generali India Life Insurance Company Limited</t>
  </si>
  <si>
    <t>HDFC Life Insurance Company Limited</t>
  </si>
  <si>
    <t>ICICI Prudential Life Insurance Company Limited</t>
  </si>
  <si>
    <t>IDBI Federal Life Insurance Company Limited</t>
  </si>
  <si>
    <t>IndiaFirst Life Insurance Company Limited</t>
  </si>
  <si>
    <t>Kotak Mahindra Life Insurance Company Limited</t>
  </si>
  <si>
    <t>Max Life Insurance Company Limited</t>
  </si>
  <si>
    <t>PNB MetLife India Insurance Company Limited</t>
  </si>
  <si>
    <t>Reliance Nippon Life Insurance Company Limited</t>
  </si>
  <si>
    <t>Sahara India Life Insurance Company Limited</t>
  </si>
  <si>
    <t>SBI Life Insurance Company Limited</t>
  </si>
  <si>
    <t>Shriram Life Insurance Company Limited</t>
  </si>
  <si>
    <t>Star Union Dai-ichi Life Insurance Company Limited</t>
  </si>
  <si>
    <t>Tata AIA Life Insurance Company Limited</t>
  </si>
  <si>
    <t>Life Insurance Corporation of India</t>
  </si>
  <si>
    <t>Life Insurance Corporation of India(Upto)</t>
  </si>
  <si>
    <t>Bonds / Debentures</t>
  </si>
  <si>
    <t>Other Debt instruments</t>
  </si>
  <si>
    <t>All Other Assets</t>
  </si>
  <si>
    <t>T0TAL</t>
  </si>
  <si>
    <t>Investments Assets  (As per Form 5)</t>
  </si>
  <si>
    <t>Gross NPA</t>
  </si>
  <si>
    <t>Provision made on NPA</t>
  </si>
  <si>
    <t>Provision on Standard Assets</t>
  </si>
  <si>
    <t>Write off made during the period</t>
  </si>
  <si>
    <t>IDBI Federal Life Insurance Company Limited Nothing</t>
  </si>
  <si>
    <t>On or before maturity</t>
  </si>
  <si>
    <t>1 month</t>
  </si>
  <si>
    <t>1-3 month</t>
  </si>
  <si>
    <t>3-6 month</t>
  </si>
  <si>
    <t xml:space="preserve">6-1 yr </t>
  </si>
  <si>
    <t>&gt; 1 year</t>
  </si>
  <si>
    <t>Total No. of Claim paid</t>
  </si>
  <si>
    <t>Total Amount of Claim paid in Crores</t>
  </si>
  <si>
    <t>6-12 months</t>
  </si>
  <si>
    <t>&gt; 12 months</t>
  </si>
  <si>
    <t>Maturity Claims</t>
  </si>
  <si>
    <t>For Annuities / Pension</t>
  </si>
  <si>
    <t>Other benefits</t>
  </si>
  <si>
    <t>Group Death Claims</t>
  </si>
  <si>
    <t>Individual Death Claims</t>
  </si>
  <si>
    <t>SBI Life Insurance Company Limited (In Crore)</t>
  </si>
  <si>
    <t>Shriram Life Insurance Company Limited  (In Crore)</t>
  </si>
  <si>
    <t>Star Union Dai-ichi Life Insurance Company Limited  (In Crore)</t>
  </si>
  <si>
    <t>Reliance Nippon Life Insurance Company Limited  (In Crore)</t>
  </si>
  <si>
    <t>PNB MetLife India Insurance Company Limited  (In Crore)</t>
  </si>
  <si>
    <t>Max Life Insurance Company Limited (In Crore)</t>
  </si>
  <si>
    <t>Kotak Mahindra Life Insurance Company Limited   (In Crore)</t>
  </si>
  <si>
    <t>IndiaFirst Life Insurance Company Limited in  (In Crore)</t>
  </si>
  <si>
    <t>ICICI Prudential Life Insurance Company Limited  (In Crore)</t>
  </si>
  <si>
    <t>HDFC Life Insurance Company Limited   (In Crore)</t>
  </si>
  <si>
    <t>Future Generali India Life Insurance Company Limited  (In Crore)</t>
  </si>
  <si>
    <t>Exide life Insurance Company Limited  (In Crore)</t>
  </si>
  <si>
    <t>DHFL Pramerica Life Insurance Company Limited  (In Crore)</t>
  </si>
  <si>
    <t>Canara HSBC Oriental Bank of Commerce Life Insurance Company Limited (In Crore)</t>
  </si>
  <si>
    <t>Bharti AXA Life Insurance Private Limited  (In Crore)</t>
  </si>
  <si>
    <t>Bajaj Allianz Life Insurance Company Limited  (In Crore)</t>
  </si>
  <si>
    <t>Aditya Birla Sun Life Insurance Company Limited (In Crore)</t>
  </si>
  <si>
    <t xml:space="preserve">% of Gross NPA on Investment Assets </t>
  </si>
  <si>
    <t>Provision as a % of NPA</t>
  </si>
  <si>
    <t xml:space="preserve">Net Investment Assets </t>
  </si>
  <si>
    <t xml:space="preserve">Net NPA </t>
  </si>
  <si>
    <t xml:space="preserve">% of Net NPA to Net Investment Assets </t>
  </si>
  <si>
    <t>L33 :Details of Non Performing Assets (Life Fund)</t>
  </si>
  <si>
    <t xml:space="preserve">Edelweiss Tokio Life Insurance Company Limited </t>
  </si>
  <si>
    <t>Figure in '000'</t>
  </si>
  <si>
    <t xml:space="preserve"> Cost / Gross Block </t>
  </si>
  <si>
    <t xml:space="preserve"> Depreciation / Amortisation </t>
  </si>
  <si>
    <t>Net Block</t>
  </si>
  <si>
    <t>Goodwill</t>
  </si>
  <si>
    <t xml:space="preserve">Intangibles - software </t>
  </si>
  <si>
    <t>Land-freehold</t>
  </si>
  <si>
    <t>Leasehold property</t>
  </si>
  <si>
    <t xml:space="preserve">Building on freehold land </t>
  </si>
  <si>
    <t>Building on leasehold land</t>
  </si>
  <si>
    <t>Furniture &amp; fittings</t>
  </si>
  <si>
    <t>Information technology equipment</t>
  </si>
  <si>
    <t>Vehicles</t>
  </si>
  <si>
    <t>Office equipment</t>
  </si>
  <si>
    <t>Leasehold improvements</t>
  </si>
  <si>
    <t>Servers &amp; Networks</t>
  </si>
  <si>
    <t>Electrical fittings</t>
  </si>
  <si>
    <t>Air Conditioner</t>
  </si>
  <si>
    <t>Mobile Phones &amp; Tablets/communication network</t>
  </si>
  <si>
    <t>Capital Work in Progress and Capital Advances</t>
  </si>
  <si>
    <t xml:space="preserve"># Includes certain asset leased pursuant to operating lease agreements </t>
  </si>
  <si>
    <t>For Q4 1819</t>
  </si>
  <si>
    <t>For Q4 1718</t>
  </si>
  <si>
    <t>Upto Q4 1819</t>
  </si>
  <si>
    <t>Upto Q4 1718</t>
  </si>
  <si>
    <t>Adjusted Value March 2019</t>
  </si>
  <si>
    <t xml:space="preserve">Excess in  Policyholders' funds </t>
  </si>
  <si>
    <t xml:space="preserve">Excess in Shareholders' funds </t>
  </si>
  <si>
    <t>Adjusted Value March 2019 In Lakhs</t>
  </si>
  <si>
    <t>Upto Q41718</t>
  </si>
  <si>
    <t>Exide life Insurance Company Limited (Upto Q4)</t>
  </si>
  <si>
    <t>Future Generali India Life Insurance Company Limited (For Q4)</t>
  </si>
  <si>
    <t>IDBI Federal Life Insurance Company Limited (For Q4)</t>
  </si>
  <si>
    <t>IndiaFirst Life Insurance Company Limited (For Q4)</t>
  </si>
  <si>
    <t>Star Union Dai-ichi Life Insurance Company Limited (For Q4)</t>
  </si>
  <si>
    <t>Aditya Birla Sun Life Insurance Company Limited (For Q4)</t>
  </si>
  <si>
    <t>Aegon Life Insurance Company Limited (For Q4)</t>
  </si>
  <si>
    <t>Aviva Life Insurance Company India Private Limited (For Q4)</t>
  </si>
  <si>
    <t>Bajaj Allianz Life Insurance Company Limited (For Q4)</t>
  </si>
  <si>
    <t>Bharti AXA Life Insurance Private Limited (For Q4)</t>
  </si>
  <si>
    <t>Canara HSBC Oriental Bank of Commerce Life Insurance Company Limited (For Q4)</t>
  </si>
  <si>
    <t>DHFL Pramerica Life Insurance Company Limited (Upto Q4)</t>
  </si>
  <si>
    <t>Edelweiss Tokio Life Insurance Company Limited (For Q4)</t>
  </si>
  <si>
    <t>HDFC Life Insurance Company Limited (For Q4)</t>
  </si>
  <si>
    <t>ICICI Prudential Life Insurance Company Limited (For Q4)</t>
  </si>
  <si>
    <t>Kotak Mahindra Life Insurance Company Limited (For Q4)</t>
  </si>
  <si>
    <t>Max Life Insurance Company Limited (For Q4)</t>
  </si>
  <si>
    <t>PNB MetLife India Insurance Company Limited (For Q4)</t>
  </si>
  <si>
    <t>Reliance Nippon Life Insurance Company Limited (For Q4)</t>
  </si>
  <si>
    <t>Sahara India Life Insurance Company Limited(For Q4)</t>
  </si>
  <si>
    <t>SBI Life Insurance Company Limited (For Q4)</t>
  </si>
  <si>
    <t>Shriram Life Insurance Company Limited (For Q4)</t>
  </si>
  <si>
    <t>Tata AIA Life Insurance Company Limited (For Q4)</t>
  </si>
  <si>
    <t>Life Insurance Corporation of India (Upto Q4)</t>
  </si>
  <si>
    <t>L-40: CLAIMS DATA LIFE QUARTER ENDED March 2019</t>
  </si>
  <si>
    <t xml:space="preserve">IDBI Federal Life Insurance Company Limited </t>
  </si>
  <si>
    <t>online</t>
  </si>
  <si>
    <r>
      <t xml:space="preserve">L-16: - Fixed Assets Schedules </t>
    </r>
    <r>
      <rPr>
        <b/>
        <sz val="9"/>
        <color indexed="8"/>
        <rFont val="Comic Sans MS"/>
        <family val="4"/>
      </rPr>
      <t>(As at 31.03.2019)</t>
    </r>
  </si>
  <si>
    <t>Previous period ended March,2018</t>
  </si>
  <si>
    <t>Cash (including cheques,drafts and stamps)</t>
  </si>
  <si>
    <t>Bank balances</t>
  </si>
  <si>
    <t xml:space="preserve">          (a) Deposit accounts</t>
  </si>
  <si>
    <t xml:space="preserve">               (aa) Short-term (due within 12 months of the date of Balance Sheet)</t>
  </si>
  <si>
    <t xml:space="preserve">               (bb) Others</t>
  </si>
  <si>
    <t xml:space="preserve">          (b) Current accounts*</t>
  </si>
  <si>
    <t xml:space="preserve">          (c) Others</t>
  </si>
  <si>
    <t xml:space="preserve">          (d) Unclaimed Dividend Accounts </t>
  </si>
  <si>
    <t>Money at call and short notice</t>
  </si>
  <si>
    <t xml:space="preserve">          (a) With banks</t>
  </si>
  <si>
    <t xml:space="preserve">          (b) With other institutions</t>
  </si>
  <si>
    <t xml:space="preserve"> Total</t>
  </si>
  <si>
    <t>Balances with non-scheduled banks included above</t>
  </si>
  <si>
    <t xml:space="preserve">   Total</t>
  </si>
  <si>
    <t>Break-up of cash ( including cheques , drafts and stamps) :</t>
  </si>
  <si>
    <t>Cash in hand</t>
  </si>
  <si>
    <t>Postal franking &amp; Revenue Stamps</t>
  </si>
  <si>
    <t>Cheques in hand</t>
  </si>
  <si>
    <t>L 39 - Quarterly Individual Ageing of Claims (Q4)</t>
  </si>
  <si>
    <t>Form L-17-Cash and Bank Balance Schedule (` in '000)</t>
  </si>
  <si>
    <t>As at 31st March,2019</t>
  </si>
  <si>
    <t>(c) Others-Provision</t>
  </si>
  <si>
    <t>Upto Q41819</t>
  </si>
  <si>
    <t>Form L-15-Loans Schedule  (` in '000)</t>
  </si>
  <si>
    <t>SECURITY WISE CLASSIFICATION</t>
  </si>
  <si>
    <t>Secured</t>
  </si>
  <si>
    <t>(a)   On mortgage of property</t>
  </si>
  <si>
    <t xml:space="preserve">          (aa)   In India</t>
  </si>
  <si>
    <t xml:space="preserve">          (bb)  Outside India</t>
  </si>
  <si>
    <t>(b)  On Shares, Bonds, Govt Securities etc</t>
  </si>
  <si>
    <t>(c)  Loans against policies</t>
  </si>
  <si>
    <t>(d)  Others</t>
  </si>
  <si>
    <t>Unsecured</t>
  </si>
  <si>
    <t>BORROWER - WISE CLASSIFICATION</t>
  </si>
  <si>
    <t>(a)  Central and State Governments</t>
  </si>
  <si>
    <t>(b)  Banks and Financial institutions</t>
  </si>
  <si>
    <t>(c )  Subsidiaries</t>
  </si>
  <si>
    <t>(d)  Companies</t>
  </si>
  <si>
    <t>(e)   Loans against policies</t>
  </si>
  <si>
    <t>(f)   Others</t>
  </si>
  <si>
    <t>PERFORMANCE - WISE CLASSIFICATION</t>
  </si>
  <si>
    <t>(a)  Loans classified as standard</t>
  </si>
  <si>
    <t xml:space="preserve">        (aa)  In India</t>
  </si>
  <si>
    <t xml:space="preserve">        (bb) Outside India</t>
  </si>
  <si>
    <t>(b)  Non - standard loans less provisions</t>
  </si>
  <si>
    <t xml:space="preserve">        (bb)  Outside India</t>
  </si>
  <si>
    <t>MATURITY - WISE CLASSIFICATION</t>
  </si>
  <si>
    <t>(a)  Short Term</t>
  </si>
  <si>
    <t>(b)  Long Term</t>
  </si>
  <si>
    <t>Upto Q4 2019</t>
  </si>
  <si>
    <t>L-4</t>
  </si>
  <si>
    <t>(b) Reinsurance ceded</t>
  </si>
  <si>
    <t>(c) Reinsurance accepted</t>
  </si>
  <si>
    <t>SUB - TOTAL</t>
  </si>
  <si>
    <t>Income from investments</t>
  </si>
  <si>
    <t>(a) Interest, Dividends &amp; Rent - Gross</t>
  </si>
  <si>
    <t>(b) Profit on sale / redemption of investments</t>
  </si>
  <si>
    <t>(c) (Loss on sale / redemption of investments)</t>
  </si>
  <si>
    <t>(d) Transfer /Gain on revaluation / change in fair value*</t>
  </si>
  <si>
    <t>(e) Accretion of discount/(amortisation of premium) (Net)</t>
  </si>
  <si>
    <t xml:space="preserve">Other income  </t>
  </si>
  <si>
    <t>(a) Contribution from the Shareholders' A/c</t>
  </si>
  <si>
    <t>(b) Income on unclaimed amount of policyholders</t>
  </si>
  <si>
    <t>(c) Miscellaneous income</t>
  </si>
  <si>
    <t>L-5</t>
  </si>
  <si>
    <t>Operating expenses related to insurance business</t>
  </si>
  <si>
    <t>L-6</t>
  </si>
  <si>
    <t>Provision for doubtful debts</t>
  </si>
  <si>
    <t>Bad debts written off</t>
  </si>
  <si>
    <t>Provision for tax</t>
  </si>
  <si>
    <t xml:space="preserve"> - Income tax</t>
  </si>
  <si>
    <t>Provisions (other than taxation)</t>
  </si>
  <si>
    <t xml:space="preserve">(a) For diminution in the value of investments (Net) </t>
  </si>
  <si>
    <t xml:space="preserve">(b) For standard assets </t>
  </si>
  <si>
    <t>Good and Service Tax charges on charges</t>
  </si>
  <si>
    <t>Total (B)</t>
  </si>
  <si>
    <t>Benefits paid (Net)</t>
  </si>
  <si>
    <t>L-7</t>
  </si>
  <si>
    <t xml:space="preserve">Interim &amp; Terminal bonuses paid </t>
  </si>
  <si>
    <t xml:space="preserve">Change in valuation of liability in respect of life policies </t>
  </si>
  <si>
    <t>(a) Gross**</t>
  </si>
  <si>
    <t>(b) Amount ceded in Re-insurance</t>
  </si>
  <si>
    <t>(c) Amount accepted in Re-insurance</t>
  </si>
  <si>
    <t>(d) Fund reserve</t>
  </si>
  <si>
    <t>(e) Funds for discontinued policies</t>
  </si>
  <si>
    <t>Total (C)</t>
  </si>
  <si>
    <t>SURPLUS/ (DEFICIT) (D) = [(A)-(B)-(C)]</t>
  </si>
  <si>
    <t>Balance of previous year</t>
  </si>
  <si>
    <t>Balance available for appropriation</t>
  </si>
  <si>
    <t>Transfer to Shareholders' account</t>
  </si>
  <si>
    <t xml:space="preserve">Transfer to other reserves </t>
  </si>
  <si>
    <t>Balance being Funds for Future Appropriations</t>
  </si>
  <si>
    <t>Total (D)</t>
  </si>
  <si>
    <t>a) Interim &amp; Terminal bonuses paid</t>
  </si>
  <si>
    <t>b) Allocation of bonus to policyholders</t>
  </si>
  <si>
    <t>c) Surplus shown in the revenue account</t>
  </si>
  <si>
    <t>d) Total Surplus: [(a) + (b) + (c )]</t>
  </si>
  <si>
    <t>AS at 31.03.2019</t>
  </si>
  <si>
    <t>Linked</t>
  </si>
  <si>
    <t>a) Life</t>
  </si>
  <si>
    <t>b) General Annuity</t>
  </si>
  <si>
    <t>c) Pension</t>
  </si>
  <si>
    <t>d) Health</t>
  </si>
  <si>
    <t>Non-Linked</t>
  </si>
  <si>
    <t>FORM L-24  Valuation of net liabiltiies: As at 31.03.2019</t>
  </si>
  <si>
    <t>e) Par</t>
  </si>
  <si>
    <t>f) Funds for discontinued policies</t>
  </si>
  <si>
    <t>Non Par Variable</t>
  </si>
  <si>
    <t>Capital reserve</t>
  </si>
  <si>
    <t>Capital redemption reserve</t>
  </si>
  <si>
    <t>Share premium</t>
  </si>
  <si>
    <t>Revaluation reserve</t>
  </si>
  <si>
    <t>General reserves</t>
  </si>
  <si>
    <t>Less : Debit balance in Profit and Loss account, If any</t>
  </si>
  <si>
    <t>Less : Amount utililized for buy-back</t>
  </si>
  <si>
    <t>Catastrophe reserve</t>
  </si>
  <si>
    <t xml:space="preserve">Other reserves </t>
  </si>
  <si>
    <t>Balance of profit in Profit and Loss account</t>
  </si>
  <si>
    <t>Debentures / Bonds</t>
  </si>
  <si>
    <t>Banks</t>
  </si>
  <si>
    <t>Financial institutions</t>
  </si>
  <si>
    <t>Form L-10-Reserves and Surplus Schedule(Amount in '000)</t>
  </si>
  <si>
    <t>Form L-11 -Borrowings Schedule  (Amount in '000)</t>
  </si>
  <si>
    <t>Transfer to Balance Sheet being deficit in Revenue Account (Policyholders' account)</t>
  </si>
  <si>
    <t>Expenses in excess of Allowable Expense transferred to Shareholders Account</t>
  </si>
  <si>
    <t>(f) Provision for linked liabilities</t>
  </si>
  <si>
    <t>L1:REVENUE ACCOUNT Figures in '000'</t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</si>
  <si>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(B)</t>
    </r>
  </si>
  <si>
    <r>
      <rPr>
        <b/>
        <sz val="9"/>
        <color indexed="62"/>
        <rFont val="Comic Sans MS"/>
        <family val="4"/>
      </rPr>
      <t>Total</t>
    </r>
    <r>
      <rPr>
        <sz val="9"/>
        <color indexed="62"/>
        <rFont val="Comic Sans MS"/>
        <family val="4"/>
      </rPr>
      <t xml:space="preserve"> </t>
    </r>
    <r>
      <rPr>
        <b/>
        <sz val="9"/>
        <color indexed="62"/>
        <rFont val="Comic Sans MS"/>
        <family val="4"/>
      </rPr>
      <t>(A)</t>
    </r>
  </si>
  <si>
    <t>Privision for current tax</t>
  </si>
  <si>
    <t>(g) Appreciation in unclaimed balances</t>
  </si>
  <si>
    <t>Shriram Life Insurance Company Limited For Q4</t>
  </si>
  <si>
    <t>-</t>
  </si>
  <si>
    <t>(f) Corporate Social Responsibility expenses</t>
  </si>
  <si>
    <t>(f) Unrealised Gains</t>
  </si>
  <si>
    <t>Transfer from Linked Fund (Lapsed policies)</t>
  </si>
  <si>
    <t>Tata AIA Life Insurance Company Limited (upto)</t>
  </si>
  <si>
    <t>Exide life Insurance Company Limited (upto)</t>
  </si>
  <si>
    <t>DHFL Pramerica Life Insurance Company Limited (upto)</t>
  </si>
  <si>
    <t xml:space="preserve">Claims Settled during the period </t>
  </si>
  <si>
    <t>L37:BUSINESS ACQUISITION THROUGH DIFFERENT CHANNELS (GROUP) Premium</t>
  </si>
  <si>
    <t>L38::BUSINESS ACQUISITION THROUGH DIFFERENT CHANNELS (Individual) Premium</t>
  </si>
  <si>
    <t>Provision for Doubtful Debts</t>
  </si>
  <si>
    <t>Provision for Non Standard Loans</t>
  </si>
  <si>
    <t>Provision for Standard Loans</t>
  </si>
  <si>
    <t xml:space="preserve">        Outside India</t>
  </si>
  <si>
    <t xml:space="preserve">        In India</t>
  </si>
  <si>
    <t>Provision for Short Term</t>
  </si>
  <si>
    <t>Provision for Long Term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</si>
</sst>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0"/>
    <numFmt numFmtId="165" formatCode="0.00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mic Sans MS"/>
      <family val="4"/>
    </font>
    <font>
      <b/>
      <sz val="9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b/>
      <sz val="9"/>
      <color indexed="62"/>
      <name val="Comic Sans MS"/>
      <family val="4"/>
    </font>
    <font>
      <sz val="9"/>
      <color indexed="62"/>
      <name val="Comic Sans MS"/>
      <family val="4"/>
    </font>
    <font>
      <b/>
      <i/>
      <sz val="9"/>
      <name val="Comic Sans MS"/>
      <family val="4"/>
    </font>
    <font>
      <sz val="11"/>
      <name val="Comic Sans MS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b/>
      <sz val="9"/>
      <color indexed="10"/>
      <name val="Comic Sans MS"/>
      <family val="4"/>
    </font>
    <font>
      <sz val="8"/>
      <color indexed="8"/>
      <name val="Comic Sans MS"/>
      <family val="4"/>
    </font>
    <font>
      <i/>
      <sz val="9"/>
      <color indexed="8"/>
      <name val="Comic Sans MS"/>
      <family val="4"/>
    </font>
    <font>
      <sz val="11"/>
      <color indexed="8"/>
      <name val="Comic Sans MS"/>
      <family val="4"/>
    </font>
    <font>
      <sz val="10"/>
      <color indexed="8"/>
      <name val="Comic Sans MS"/>
      <family val="4"/>
    </font>
    <font>
      <b/>
      <sz val="10"/>
      <color indexed="8"/>
      <name val="Comic Sans MS"/>
      <family val="4"/>
    </font>
    <font>
      <b/>
      <sz val="8"/>
      <color indexed="8"/>
      <name val="Comic Sans MS"/>
      <family val="4"/>
    </font>
    <font>
      <b/>
      <i/>
      <sz val="9"/>
      <color indexed="8"/>
      <name val="Comic Sans MS"/>
      <family val="4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8"/>
      <color indexed="10"/>
      <name val="Comic Sans MS"/>
      <family val="4"/>
    </font>
    <font>
      <sz val="8"/>
      <color indexed="10"/>
      <name val="Comic Sans MS"/>
      <family val="4"/>
    </font>
    <font>
      <b/>
      <sz val="9"/>
      <color indexed="49"/>
      <name val="Comic Sans MS"/>
      <family val="4"/>
    </font>
    <font>
      <sz val="9"/>
      <color indexed="49"/>
      <name val="Comic Sans MS"/>
      <family val="4"/>
    </font>
    <font>
      <b/>
      <sz val="8"/>
      <color indexed="49"/>
      <name val="Comic Sans MS"/>
      <family val="4"/>
    </font>
    <font>
      <sz val="11"/>
      <color indexed="49"/>
      <name val="Comic Sans MS"/>
      <family val="4"/>
    </font>
    <font>
      <b/>
      <sz val="10"/>
      <color indexed="49"/>
      <name val="Comic Sans MS"/>
      <family val="4"/>
    </font>
    <font>
      <b/>
      <sz val="11"/>
      <color indexed="49"/>
      <name val="Comic Sans MS"/>
      <family val="4"/>
    </font>
    <font>
      <i/>
      <sz val="8"/>
      <color indexed="8"/>
      <name val="Comic Sans MS"/>
      <family val="4"/>
    </font>
    <font>
      <b/>
      <sz val="8"/>
      <color indexed="62"/>
      <name val="Comic Sans MS"/>
      <family val="4"/>
    </font>
    <font>
      <sz val="11"/>
      <color indexed="62"/>
      <name val="Comic Sans MS"/>
      <family val="4"/>
    </font>
    <font>
      <sz val="8"/>
      <color indexed="62"/>
      <name val="Comic Sans MS"/>
      <family val="4"/>
    </font>
    <font>
      <b/>
      <sz val="11"/>
      <color indexed="62"/>
      <name val="Comic Sans MS"/>
      <family val="4"/>
    </font>
    <font>
      <b/>
      <sz val="10"/>
      <color indexed="62"/>
      <name val="Comic Sans MS"/>
      <family val="4"/>
    </font>
    <font>
      <sz val="10"/>
      <color indexed="62"/>
      <name val="Comic Sans MS"/>
      <family val="4"/>
    </font>
    <font>
      <b/>
      <sz val="8"/>
      <color indexed="62"/>
      <name val="Cambria"/>
      <family val="1"/>
    </font>
    <font>
      <b/>
      <sz val="11"/>
      <color indexed="8"/>
      <name val="Comic Sans MS"/>
      <family val="4"/>
    </font>
    <font>
      <sz val="9"/>
      <color indexed="8"/>
      <name val="Cambria"/>
      <family val="1"/>
    </font>
    <font>
      <b/>
      <i/>
      <sz val="9"/>
      <color indexed="62"/>
      <name val="Comic Sans MS"/>
      <family val="4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rgb="FFFF0000"/>
      <name val="Comic Sans MS"/>
      <family val="4"/>
    </font>
    <font>
      <sz val="8"/>
      <color rgb="FF000000"/>
      <name val="Comic Sans MS"/>
      <family val="4"/>
    </font>
    <font>
      <sz val="9"/>
      <color rgb="FF000000"/>
      <name val="Comic Sans MS"/>
      <family val="4"/>
    </font>
    <font>
      <i/>
      <sz val="9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b/>
      <sz val="9"/>
      <color rgb="FF000000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8"/>
      <color rgb="FF000000"/>
      <name val="Comic Sans MS"/>
      <family val="4"/>
    </font>
    <font>
      <b/>
      <i/>
      <sz val="9"/>
      <color theme="1"/>
      <name val="Comic Sans MS"/>
      <family val="4"/>
    </font>
    <font>
      <sz val="8"/>
      <color rgb="FF000000"/>
      <name val="Cambria"/>
      <family val="1"/>
    </font>
    <font>
      <b/>
      <sz val="8"/>
      <color rgb="FF000000"/>
      <name val="Cambria"/>
      <family val="1"/>
    </font>
    <font>
      <b/>
      <sz val="8"/>
      <color rgb="FFFF0000"/>
      <name val="Comic Sans MS"/>
      <family val="4"/>
    </font>
    <font>
      <sz val="8"/>
      <color rgb="FFFF0000"/>
      <name val="Comic Sans MS"/>
      <family val="4"/>
    </font>
    <font>
      <b/>
      <sz val="9"/>
      <color theme="4"/>
      <name val="Comic Sans MS"/>
      <family val="4"/>
    </font>
    <font>
      <sz val="9"/>
      <color theme="4"/>
      <name val="Comic Sans MS"/>
      <family val="4"/>
    </font>
    <font>
      <b/>
      <sz val="8"/>
      <color theme="4"/>
      <name val="Comic Sans MS"/>
      <family val="4"/>
    </font>
    <font>
      <sz val="11"/>
      <color theme="4"/>
      <name val="Comic Sans MS"/>
      <family val="4"/>
    </font>
    <font>
      <b/>
      <sz val="10"/>
      <color theme="4"/>
      <name val="Comic Sans MS"/>
      <family val="4"/>
    </font>
    <font>
      <b/>
      <sz val="11"/>
      <color theme="4"/>
      <name val="Comic Sans MS"/>
      <family val="4"/>
    </font>
    <font>
      <i/>
      <sz val="8"/>
      <color rgb="FF000000"/>
      <name val="Comic Sans MS"/>
      <family val="4"/>
    </font>
    <font>
      <b/>
      <sz val="10"/>
      <color rgb="FF000000"/>
      <name val="Comic Sans MS"/>
      <family val="4"/>
    </font>
    <font>
      <b/>
      <sz val="9"/>
      <color theme="8"/>
      <name val="Comic Sans MS"/>
      <family val="4"/>
    </font>
    <font>
      <sz val="9"/>
      <color theme="8"/>
      <name val="Comic Sans MS"/>
      <family val="4"/>
    </font>
    <font>
      <b/>
      <sz val="8"/>
      <color theme="8"/>
      <name val="Comic Sans MS"/>
      <family val="4"/>
    </font>
    <font>
      <sz val="11"/>
      <color theme="8"/>
      <name val="Comic Sans MS"/>
      <family val="4"/>
    </font>
    <font>
      <sz val="11"/>
      <color theme="8"/>
      <name val="Calibri"/>
      <family val="2"/>
    </font>
    <font>
      <sz val="8"/>
      <color theme="8"/>
      <name val="Comic Sans MS"/>
      <family val="4"/>
    </font>
    <font>
      <b/>
      <sz val="11"/>
      <color theme="8"/>
      <name val="Comic Sans MS"/>
      <family val="4"/>
    </font>
    <font>
      <b/>
      <sz val="10"/>
      <color theme="8"/>
      <name val="Comic Sans MS"/>
      <family val="4"/>
    </font>
    <font>
      <sz val="10"/>
      <color theme="8"/>
      <name val="Comic Sans MS"/>
      <family val="4"/>
    </font>
    <font>
      <b/>
      <sz val="8"/>
      <color theme="8"/>
      <name val="Cambria"/>
      <family val="1"/>
    </font>
    <font>
      <b/>
      <sz val="11"/>
      <color theme="1"/>
      <name val="Comic Sans MS"/>
      <family val="4"/>
    </font>
    <font>
      <sz val="10"/>
      <color rgb="FF000000"/>
      <name val="Comic Sans MS"/>
      <family val="4"/>
    </font>
    <font>
      <sz val="9"/>
      <color rgb="FF000000"/>
      <name val="Cambria"/>
      <family val="1"/>
    </font>
    <font>
      <b/>
      <i/>
      <sz val="9"/>
      <color theme="8"/>
      <name val="Comic Sans MS"/>
      <family val="4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881">
    <xf numFmtId="0" fontId="0" fillId="0" borderId="0" xfId="0" applyFont="1" applyAlignment="1">
      <alignment/>
    </xf>
    <xf numFmtId="0" fontId="75" fillId="0" borderId="10" xfId="0" applyFont="1" applyBorder="1" applyAlignment="1">
      <alignment horizontal="left" vertical="center"/>
    </xf>
    <xf numFmtId="2" fontId="76" fillId="0" borderId="11" xfId="0" applyNumberFormat="1" applyFont="1" applyBorder="1" applyAlignment="1">
      <alignment horizontal="left"/>
    </xf>
    <xf numFmtId="2" fontId="76" fillId="0" borderId="12" xfId="0" applyNumberFormat="1" applyFont="1" applyBorder="1" applyAlignment="1">
      <alignment horizontal="left"/>
    </xf>
    <xf numFmtId="2" fontId="76" fillId="0" borderId="10" xfId="0" applyNumberFormat="1" applyFont="1" applyBorder="1" applyAlignment="1">
      <alignment horizontal="left"/>
    </xf>
    <xf numFmtId="2" fontId="76" fillId="0" borderId="12" xfId="44" applyNumberFormat="1" applyFont="1" applyBorder="1" applyAlignment="1">
      <alignment horizontal="left"/>
    </xf>
    <xf numFmtId="2" fontId="76" fillId="0" borderId="10" xfId="44" applyNumberFormat="1" applyFont="1" applyBorder="1" applyAlignment="1">
      <alignment horizontal="left"/>
    </xf>
    <xf numFmtId="2" fontId="75" fillId="0" borderId="11" xfId="0" applyNumberFormat="1" applyFont="1" applyBorder="1" applyAlignment="1">
      <alignment horizontal="left"/>
    </xf>
    <xf numFmtId="2" fontId="75" fillId="0" borderId="12" xfId="0" applyNumberFormat="1" applyFont="1" applyBorder="1" applyAlignment="1">
      <alignment horizontal="left"/>
    </xf>
    <xf numFmtId="2" fontId="75" fillId="0" borderId="10" xfId="0" applyNumberFormat="1" applyFont="1" applyBorder="1" applyAlignment="1">
      <alignment horizontal="left"/>
    </xf>
    <xf numFmtId="2" fontId="77" fillId="0" borderId="11" xfId="0" applyNumberFormat="1" applyFont="1" applyBorder="1" applyAlignment="1">
      <alignment horizontal="left"/>
    </xf>
    <xf numFmtId="2" fontId="77" fillId="0" borderId="12" xfId="0" applyNumberFormat="1" applyFont="1" applyBorder="1" applyAlignment="1">
      <alignment horizontal="left"/>
    </xf>
    <xf numFmtId="2" fontId="77" fillId="0" borderId="10" xfId="0" applyNumberFormat="1" applyFont="1" applyBorder="1" applyAlignment="1">
      <alignment horizontal="left"/>
    </xf>
    <xf numFmtId="2" fontId="76" fillId="0" borderId="13" xfId="0" applyNumberFormat="1" applyFont="1" applyBorder="1" applyAlignment="1">
      <alignment horizontal="left"/>
    </xf>
    <xf numFmtId="0" fontId="78" fillId="0" borderId="12" xfId="0" applyFont="1" applyBorder="1" applyAlignment="1">
      <alignment horizontal="left"/>
    </xf>
    <xf numFmtId="0" fontId="76" fillId="0" borderId="0" xfId="0" applyFont="1" applyAlignment="1">
      <alignment horizontal="left"/>
    </xf>
    <xf numFmtId="1" fontId="76" fillId="0" borderId="12" xfId="0" applyNumberFormat="1" applyFont="1" applyBorder="1" applyAlignment="1">
      <alignment horizontal="left" vertical="center"/>
    </xf>
    <xf numFmtId="1" fontId="75" fillId="0" borderId="12" xfId="0" applyNumberFormat="1" applyFont="1" applyBorder="1" applyAlignment="1">
      <alignment horizontal="left" vertical="center"/>
    </xf>
    <xf numFmtId="1" fontId="75" fillId="0" borderId="14" xfId="0" applyNumberFormat="1" applyFont="1" applyBorder="1" applyAlignment="1">
      <alignment horizontal="left" vertical="center"/>
    </xf>
    <xf numFmtId="1" fontId="75" fillId="0" borderId="11" xfId="0" applyNumberFormat="1" applyFont="1" applyBorder="1" applyAlignment="1">
      <alignment horizontal="left" vertical="center"/>
    </xf>
    <xf numFmtId="1" fontId="75" fillId="0" borderId="15" xfId="0" applyNumberFormat="1" applyFont="1" applyBorder="1" applyAlignment="1">
      <alignment horizontal="left" vertical="center"/>
    </xf>
    <xf numFmtId="1" fontId="75" fillId="0" borderId="10" xfId="0" applyNumberFormat="1" applyFont="1" applyBorder="1" applyAlignment="1">
      <alignment horizontal="left" vertical="center"/>
    </xf>
    <xf numFmtId="1" fontId="75" fillId="0" borderId="0" xfId="0" applyNumberFormat="1" applyFont="1" applyFill="1" applyBorder="1" applyAlignment="1">
      <alignment horizontal="left" vertical="center"/>
    </xf>
    <xf numFmtId="3" fontId="79" fillId="0" borderId="15" xfId="0" applyNumberFormat="1" applyFont="1" applyBorder="1" applyAlignment="1">
      <alignment horizontal="left"/>
    </xf>
    <xf numFmtId="3" fontId="79" fillId="0" borderId="12" xfId="0" applyNumberFormat="1" applyFont="1" applyBorder="1" applyAlignment="1">
      <alignment horizontal="left"/>
    </xf>
    <xf numFmtId="3" fontId="79" fillId="0" borderId="10" xfId="0" applyNumberFormat="1" applyFont="1" applyBorder="1" applyAlignment="1">
      <alignment horizontal="left"/>
    </xf>
    <xf numFmtId="1" fontId="76" fillId="0" borderId="12" xfId="0" applyNumberFormat="1" applyFont="1" applyBorder="1" applyAlignment="1">
      <alignment horizontal="left"/>
    </xf>
    <xf numFmtId="1" fontId="76" fillId="0" borderId="14" xfId="0" applyNumberFormat="1" applyFont="1" applyBorder="1" applyAlignment="1">
      <alignment horizontal="left"/>
    </xf>
    <xf numFmtId="1" fontId="76" fillId="0" borderId="11" xfId="0" applyNumberFormat="1" applyFont="1" applyBorder="1" applyAlignment="1">
      <alignment horizontal="left"/>
    </xf>
    <xf numFmtId="2" fontId="76" fillId="0" borderId="15" xfId="0" applyNumberFormat="1" applyFont="1" applyBorder="1" applyAlignment="1">
      <alignment horizontal="left"/>
    </xf>
    <xf numFmtId="1" fontId="76" fillId="0" borderId="15" xfId="0" applyNumberFormat="1" applyFont="1" applyBorder="1" applyAlignment="1">
      <alignment horizontal="left"/>
    </xf>
    <xf numFmtId="1" fontId="76" fillId="0" borderId="10" xfId="0" applyNumberFormat="1" applyFont="1" applyBorder="1" applyAlignment="1">
      <alignment horizontal="left"/>
    </xf>
    <xf numFmtId="1" fontId="76" fillId="0" borderId="15" xfId="44" applyNumberFormat="1" applyFont="1" applyBorder="1" applyAlignment="1">
      <alignment horizontal="left"/>
    </xf>
    <xf numFmtId="1" fontId="76" fillId="0" borderId="12" xfId="44" applyNumberFormat="1" applyFont="1" applyBorder="1" applyAlignment="1">
      <alignment horizontal="left"/>
    </xf>
    <xf numFmtId="1" fontId="76" fillId="0" borderId="10" xfId="44" applyNumberFormat="1" applyFont="1" applyBorder="1" applyAlignment="1">
      <alignment horizontal="left"/>
    </xf>
    <xf numFmtId="2" fontId="76" fillId="0" borderId="15" xfId="0" applyNumberFormat="1" applyFont="1" applyBorder="1" applyAlignment="1">
      <alignment horizontal="left" wrapText="1"/>
    </xf>
    <xf numFmtId="1" fontId="76" fillId="0" borderId="15" xfId="0" applyNumberFormat="1" applyFont="1" applyFill="1" applyBorder="1" applyAlignment="1">
      <alignment horizontal="left"/>
    </xf>
    <xf numFmtId="1" fontId="76" fillId="0" borderId="12" xfId="0" applyNumberFormat="1" applyFont="1" applyFill="1" applyBorder="1" applyAlignment="1">
      <alignment horizontal="left"/>
    </xf>
    <xf numFmtId="1" fontId="76" fillId="0" borderId="10" xfId="0" applyNumberFormat="1" applyFont="1" applyFill="1" applyBorder="1" applyAlignment="1">
      <alignment horizontal="left"/>
    </xf>
    <xf numFmtId="1" fontId="76" fillId="0" borderId="15" xfId="42" applyNumberFormat="1" applyFont="1" applyBorder="1" applyAlignment="1">
      <alignment horizontal="left"/>
    </xf>
    <xf numFmtId="1" fontId="76" fillId="0" borderId="12" xfId="42" applyNumberFormat="1" applyFont="1" applyBorder="1" applyAlignment="1">
      <alignment horizontal="left"/>
    </xf>
    <xf numFmtId="1" fontId="76" fillId="0" borderId="10" xfId="42" applyNumberFormat="1" applyFont="1" applyBorder="1" applyAlignment="1">
      <alignment horizontal="left"/>
    </xf>
    <xf numFmtId="1" fontId="75" fillId="0" borderId="15" xfId="42" applyNumberFormat="1" applyFont="1" applyBorder="1" applyAlignment="1">
      <alignment horizontal="left"/>
    </xf>
    <xf numFmtId="1" fontId="75" fillId="0" borderId="12" xfId="42" applyNumberFormat="1" applyFont="1" applyBorder="1" applyAlignment="1">
      <alignment horizontal="left"/>
    </xf>
    <xf numFmtId="1" fontId="75" fillId="0" borderId="10" xfId="42" applyNumberFormat="1" applyFont="1" applyBorder="1" applyAlignment="1">
      <alignment horizontal="left"/>
    </xf>
    <xf numFmtId="0" fontId="79" fillId="0" borderId="15" xfId="0" applyFont="1" applyBorder="1" applyAlignment="1">
      <alignment horizontal="left"/>
    </xf>
    <xf numFmtId="0" fontId="79" fillId="0" borderId="12" xfId="0" applyFont="1" applyBorder="1" applyAlignment="1">
      <alignment horizontal="left"/>
    </xf>
    <xf numFmtId="1" fontId="75" fillId="0" borderId="12" xfId="0" applyNumberFormat="1" applyFont="1" applyBorder="1" applyAlignment="1">
      <alignment horizontal="left"/>
    </xf>
    <xf numFmtId="1" fontId="75" fillId="0" borderId="11" xfId="0" applyNumberFormat="1" applyFont="1" applyBorder="1" applyAlignment="1">
      <alignment horizontal="left"/>
    </xf>
    <xf numFmtId="2" fontId="75" fillId="0" borderId="15" xfId="0" applyNumberFormat="1" applyFont="1" applyBorder="1" applyAlignment="1">
      <alignment horizontal="left"/>
    </xf>
    <xf numFmtId="1" fontId="75" fillId="0" borderId="15" xfId="0" applyNumberFormat="1" applyFont="1" applyBorder="1" applyAlignment="1">
      <alignment horizontal="left"/>
    </xf>
    <xf numFmtId="1" fontId="75" fillId="0" borderId="10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1" fontId="76" fillId="0" borderId="0" xfId="0" applyNumberFormat="1" applyFont="1" applyAlignment="1">
      <alignment horizontal="left"/>
    </xf>
    <xf numFmtId="1" fontId="75" fillId="0" borderId="16" xfId="0" applyNumberFormat="1" applyFont="1" applyBorder="1" applyAlignment="1">
      <alignment horizontal="left"/>
    </xf>
    <xf numFmtId="2" fontId="75" fillId="0" borderId="12" xfId="0" applyNumberFormat="1" applyFont="1" applyBorder="1" applyAlignment="1">
      <alignment horizontal="left" vertical="center"/>
    </xf>
    <xf numFmtId="1" fontId="76" fillId="0" borderId="16" xfId="44" applyNumberFormat="1" applyFont="1" applyBorder="1" applyAlignment="1">
      <alignment horizontal="left"/>
    </xf>
    <xf numFmtId="2" fontId="76" fillId="0" borderId="16" xfId="0" applyNumberFormat="1" applyFont="1" applyBorder="1" applyAlignment="1">
      <alignment horizontal="left"/>
    </xf>
    <xf numFmtId="0" fontId="75" fillId="0" borderId="0" xfId="0" applyFont="1" applyFill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79" fillId="0" borderId="17" xfId="0" applyFont="1" applyBorder="1" applyAlignment="1">
      <alignment horizontal="left"/>
    </xf>
    <xf numFmtId="1" fontId="76" fillId="0" borderId="18" xfId="0" applyNumberFormat="1" applyFont="1" applyBorder="1" applyAlignment="1">
      <alignment horizontal="left" vertical="center"/>
    </xf>
    <xf numFmtId="1" fontId="76" fillId="0" borderId="16" xfId="0" applyNumberFormat="1" applyFont="1" applyBorder="1" applyAlignment="1">
      <alignment horizontal="left" vertical="center"/>
    </xf>
    <xf numFmtId="1" fontId="76" fillId="0" borderId="19" xfId="0" applyNumberFormat="1" applyFont="1" applyBorder="1" applyAlignment="1">
      <alignment horizontal="left" vertical="center"/>
    </xf>
    <xf numFmtId="1" fontId="76" fillId="0" borderId="20" xfId="0" applyNumberFormat="1" applyFont="1" applyBorder="1" applyAlignment="1">
      <alignment horizontal="left"/>
    </xf>
    <xf numFmtId="1" fontId="76" fillId="0" borderId="16" xfId="0" applyNumberFormat="1" applyFont="1" applyBorder="1" applyAlignment="1">
      <alignment horizontal="left"/>
    </xf>
    <xf numFmtId="1" fontId="76" fillId="0" borderId="19" xfId="0" applyNumberFormat="1" applyFont="1" applyBorder="1" applyAlignment="1">
      <alignment horizontal="left"/>
    </xf>
    <xf numFmtId="1" fontId="76" fillId="0" borderId="18" xfId="0" applyNumberFormat="1" applyFont="1" applyBorder="1" applyAlignment="1">
      <alignment horizontal="left"/>
    </xf>
    <xf numFmtId="2" fontId="76" fillId="0" borderId="20" xfId="0" applyNumberFormat="1" applyFont="1" applyBorder="1" applyAlignment="1">
      <alignment horizontal="left"/>
    </xf>
    <xf numFmtId="2" fontId="76" fillId="0" borderId="19" xfId="0" applyNumberFormat="1" applyFont="1" applyBorder="1" applyAlignment="1">
      <alignment horizontal="left"/>
    </xf>
    <xf numFmtId="1" fontId="76" fillId="0" borderId="18" xfId="44" applyNumberFormat="1" applyFont="1" applyBorder="1" applyAlignment="1">
      <alignment horizontal="left"/>
    </xf>
    <xf numFmtId="1" fontId="76" fillId="0" borderId="19" xfId="44" applyNumberFormat="1" applyFont="1" applyBorder="1" applyAlignment="1">
      <alignment horizontal="left"/>
    </xf>
    <xf numFmtId="1" fontId="76" fillId="0" borderId="20" xfId="0" applyNumberFormat="1" applyFont="1" applyFill="1" applyBorder="1" applyAlignment="1">
      <alignment horizontal="left"/>
    </xf>
    <xf numFmtId="1" fontId="76" fillId="0" borderId="16" xfId="0" applyNumberFormat="1" applyFont="1" applyFill="1" applyBorder="1" applyAlignment="1">
      <alignment horizontal="left"/>
    </xf>
    <xf numFmtId="1" fontId="76" fillId="0" borderId="19" xfId="0" applyNumberFormat="1" applyFont="1" applyFill="1" applyBorder="1" applyAlignment="1">
      <alignment horizontal="left"/>
    </xf>
    <xf numFmtId="1" fontId="76" fillId="0" borderId="20" xfId="42" applyNumberFormat="1" applyFont="1" applyBorder="1" applyAlignment="1">
      <alignment horizontal="left"/>
    </xf>
    <xf numFmtId="1" fontId="76" fillId="0" borderId="16" xfId="42" applyNumberFormat="1" applyFont="1" applyBorder="1" applyAlignment="1">
      <alignment horizontal="left"/>
    </xf>
    <xf numFmtId="1" fontId="76" fillId="0" borderId="19" xfId="42" applyNumberFormat="1" applyFont="1" applyBorder="1" applyAlignment="1">
      <alignment horizontal="left"/>
    </xf>
    <xf numFmtId="1" fontId="75" fillId="0" borderId="20" xfId="0" applyNumberFormat="1" applyFont="1" applyBorder="1" applyAlignment="1">
      <alignment horizontal="left"/>
    </xf>
    <xf numFmtId="1" fontId="75" fillId="0" borderId="21" xfId="0" applyNumberFormat="1" applyFont="1" applyBorder="1" applyAlignment="1">
      <alignment horizontal="left"/>
    </xf>
    <xf numFmtId="2" fontId="76" fillId="0" borderId="0" xfId="0" applyNumberFormat="1" applyFont="1" applyAlignment="1">
      <alignment horizontal="left"/>
    </xf>
    <xf numFmtId="1" fontId="76" fillId="0" borderId="11" xfId="0" applyNumberFormat="1" applyFont="1" applyBorder="1" applyAlignment="1">
      <alignment horizontal="left" vertical="center"/>
    </xf>
    <xf numFmtId="1" fontId="76" fillId="0" borderId="10" xfId="0" applyNumberFormat="1" applyFont="1" applyBorder="1" applyAlignment="1">
      <alignment horizontal="left" vertical="center"/>
    </xf>
    <xf numFmtId="1" fontId="76" fillId="0" borderId="11" xfId="44" applyNumberFormat="1" applyFont="1" applyBorder="1" applyAlignment="1">
      <alignment horizontal="left"/>
    </xf>
    <xf numFmtId="1" fontId="75" fillId="0" borderId="22" xfId="0" applyNumberFormat="1" applyFont="1" applyBorder="1" applyAlignment="1">
      <alignment horizontal="left"/>
    </xf>
    <xf numFmtId="1" fontId="75" fillId="0" borderId="13" xfId="0" applyNumberFormat="1" applyFont="1" applyBorder="1" applyAlignment="1">
      <alignment horizontal="left"/>
    </xf>
    <xf numFmtId="1" fontId="75" fillId="0" borderId="23" xfId="0" applyNumberFormat="1" applyFont="1" applyBorder="1" applyAlignment="1">
      <alignment horizontal="left"/>
    </xf>
    <xf numFmtId="1" fontId="75" fillId="0" borderId="24" xfId="0" applyNumberFormat="1" applyFont="1" applyBorder="1" applyAlignment="1">
      <alignment horizontal="left"/>
    </xf>
    <xf numFmtId="1" fontId="3" fillId="0" borderId="22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23" xfId="0" applyNumberFormat="1" applyFont="1" applyBorder="1" applyAlignment="1">
      <alignment horizontal="left"/>
    </xf>
    <xf numFmtId="2" fontId="76" fillId="0" borderId="22" xfId="0" applyNumberFormat="1" applyFont="1" applyBorder="1" applyAlignment="1">
      <alignment horizontal="left" wrapText="1"/>
    </xf>
    <xf numFmtId="1" fontId="76" fillId="0" borderId="22" xfId="0" applyNumberFormat="1" applyFont="1" applyFill="1" applyBorder="1" applyAlignment="1">
      <alignment horizontal="left"/>
    </xf>
    <xf numFmtId="1" fontId="76" fillId="0" borderId="13" xfId="0" applyNumberFormat="1" applyFont="1" applyFill="1" applyBorder="1" applyAlignment="1">
      <alignment horizontal="left"/>
    </xf>
    <xf numFmtId="1" fontId="76" fillId="0" borderId="23" xfId="0" applyNumberFormat="1" applyFont="1" applyFill="1" applyBorder="1" applyAlignment="1">
      <alignment horizontal="left"/>
    </xf>
    <xf numFmtId="2" fontId="75" fillId="0" borderId="22" xfId="0" applyNumberFormat="1" applyFont="1" applyBorder="1" applyAlignment="1">
      <alignment horizontal="left"/>
    </xf>
    <xf numFmtId="2" fontId="75" fillId="0" borderId="13" xfId="0" applyNumberFormat="1" applyFont="1" applyBorder="1" applyAlignment="1">
      <alignment horizontal="left"/>
    </xf>
    <xf numFmtId="2" fontId="75" fillId="0" borderId="23" xfId="0" applyNumberFormat="1" applyFont="1" applyBorder="1" applyAlignment="1">
      <alignment horizontal="left"/>
    </xf>
    <xf numFmtId="0" fontId="81" fillId="0" borderId="0" xfId="0" applyFont="1" applyAlignment="1">
      <alignment horizontal="left"/>
    </xf>
    <xf numFmtId="2" fontId="76" fillId="0" borderId="12" xfId="0" applyNumberFormat="1" applyFont="1" applyBorder="1" applyAlignment="1">
      <alignment horizontal="left" vertical="center"/>
    </xf>
    <xf numFmtId="2" fontId="76" fillId="0" borderId="14" xfId="0" applyNumberFormat="1" applyFont="1" applyBorder="1" applyAlignment="1">
      <alignment horizontal="left" vertical="center"/>
    </xf>
    <xf numFmtId="2" fontId="82" fillId="0" borderId="11" xfId="0" applyNumberFormat="1" applyFont="1" applyBorder="1" applyAlignment="1">
      <alignment horizontal="left"/>
    </xf>
    <xf numFmtId="2" fontId="82" fillId="0" borderId="12" xfId="0" applyNumberFormat="1" applyFont="1" applyBorder="1" applyAlignment="1">
      <alignment horizontal="left"/>
    </xf>
    <xf numFmtId="2" fontId="82" fillId="0" borderId="14" xfId="0" applyNumberFormat="1" applyFont="1" applyBorder="1" applyAlignment="1">
      <alignment horizontal="left"/>
    </xf>
    <xf numFmtId="2" fontId="82" fillId="0" borderId="10" xfId="0" applyNumberFormat="1" applyFont="1" applyBorder="1" applyAlignment="1">
      <alignment horizontal="left"/>
    </xf>
    <xf numFmtId="0" fontId="76" fillId="0" borderId="12" xfId="0" applyFont="1" applyBorder="1" applyAlignment="1">
      <alignment horizontal="left"/>
    </xf>
    <xf numFmtId="0" fontId="76" fillId="0" borderId="10" xfId="0" applyFont="1" applyBorder="1" applyAlignment="1">
      <alignment horizontal="left"/>
    </xf>
    <xf numFmtId="2" fontId="82" fillId="0" borderId="15" xfId="0" applyNumberFormat="1" applyFont="1" applyBorder="1" applyAlignment="1">
      <alignment horizontal="left"/>
    </xf>
    <xf numFmtId="164" fontId="78" fillId="0" borderId="15" xfId="0" applyNumberFormat="1" applyFont="1" applyBorder="1" applyAlignment="1">
      <alignment horizontal="left"/>
    </xf>
    <xf numFmtId="164" fontId="78" fillId="0" borderId="12" xfId="0" applyNumberFormat="1" applyFont="1" applyBorder="1" applyAlignment="1">
      <alignment horizontal="left"/>
    </xf>
    <xf numFmtId="2" fontId="82" fillId="0" borderId="11" xfId="0" applyNumberFormat="1" applyFont="1" applyFill="1" applyBorder="1" applyAlignment="1">
      <alignment horizontal="left"/>
    </xf>
    <xf numFmtId="2" fontId="82" fillId="0" borderId="12" xfId="0" applyNumberFormat="1" applyFont="1" applyFill="1" applyBorder="1" applyAlignment="1">
      <alignment horizontal="left"/>
    </xf>
    <xf numFmtId="2" fontId="82" fillId="0" borderId="10" xfId="0" applyNumberFormat="1" applyFont="1" applyFill="1" applyBorder="1" applyAlignment="1">
      <alignment horizontal="left"/>
    </xf>
    <xf numFmtId="2" fontId="82" fillId="0" borderId="15" xfId="42" applyNumberFormat="1" applyFont="1" applyBorder="1" applyAlignment="1">
      <alignment horizontal="left"/>
    </xf>
    <xf numFmtId="2" fontId="82" fillId="0" borderId="12" xfId="42" applyNumberFormat="1" applyFont="1" applyBorder="1" applyAlignment="1">
      <alignment horizontal="left"/>
    </xf>
    <xf numFmtId="2" fontId="82" fillId="0" borderId="10" xfId="42" applyNumberFormat="1" applyFont="1" applyBorder="1" applyAlignment="1">
      <alignment horizontal="left"/>
    </xf>
    <xf numFmtId="2" fontId="83" fillId="0" borderId="15" xfId="0" applyNumberFormat="1" applyFont="1" applyBorder="1" applyAlignment="1">
      <alignment horizontal="left"/>
    </xf>
    <xf numFmtId="2" fontId="82" fillId="0" borderId="11" xfId="42" applyNumberFormat="1" applyFont="1" applyBorder="1" applyAlignment="1">
      <alignment horizontal="left"/>
    </xf>
    <xf numFmtId="2" fontId="83" fillId="0" borderId="11" xfId="0" applyNumberFormat="1" applyFont="1" applyBorder="1" applyAlignment="1">
      <alignment horizontal="left"/>
    </xf>
    <xf numFmtId="3" fontId="78" fillId="0" borderId="15" xfId="0" applyNumberFormat="1" applyFont="1" applyBorder="1" applyAlignment="1">
      <alignment horizontal="left"/>
    </xf>
    <xf numFmtId="3" fontId="78" fillId="0" borderId="12" xfId="0" applyNumberFormat="1" applyFont="1" applyBorder="1" applyAlignment="1">
      <alignment horizontal="left"/>
    </xf>
    <xf numFmtId="3" fontId="78" fillId="0" borderId="10" xfId="0" applyNumberFormat="1" applyFont="1" applyBorder="1" applyAlignment="1">
      <alignment horizontal="left"/>
    </xf>
    <xf numFmtId="2" fontId="75" fillId="0" borderId="11" xfId="0" applyNumberFormat="1" applyFont="1" applyBorder="1" applyAlignment="1">
      <alignment horizontal="left" vertical="center"/>
    </xf>
    <xf numFmtId="2" fontId="75" fillId="0" borderId="14" xfId="0" applyNumberFormat="1" applyFont="1" applyBorder="1" applyAlignment="1">
      <alignment horizontal="left" vertical="center"/>
    </xf>
    <xf numFmtId="2" fontId="83" fillId="0" borderId="12" xfId="0" applyNumberFormat="1" applyFont="1" applyBorder="1" applyAlignment="1">
      <alignment horizontal="left"/>
    </xf>
    <xf numFmtId="2" fontId="83" fillId="0" borderId="14" xfId="0" applyNumberFormat="1" applyFont="1" applyBorder="1" applyAlignment="1">
      <alignment horizontal="left"/>
    </xf>
    <xf numFmtId="2" fontId="83" fillId="0" borderId="10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0" fontId="78" fillId="0" borderId="15" xfId="0" applyFont="1" applyBorder="1" applyAlignment="1">
      <alignment horizontal="left"/>
    </xf>
    <xf numFmtId="2" fontId="77" fillId="0" borderId="12" xfId="0" applyNumberFormat="1" applyFont="1" applyBorder="1" applyAlignment="1">
      <alignment horizontal="left" vertical="center"/>
    </xf>
    <xf numFmtId="2" fontId="81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 horizontal="left"/>
    </xf>
    <xf numFmtId="164" fontId="84" fillId="0" borderId="25" xfId="0" applyNumberFormat="1" applyFont="1" applyBorder="1" applyAlignment="1">
      <alignment horizontal="left"/>
    </xf>
    <xf numFmtId="2" fontId="75" fillId="0" borderId="11" xfId="44" applyNumberFormat="1" applyFont="1" applyBorder="1" applyAlignment="1">
      <alignment horizontal="left"/>
    </xf>
    <xf numFmtId="2" fontId="75" fillId="0" borderId="12" xfId="44" applyNumberFormat="1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4" fillId="0" borderId="25" xfId="0" applyFont="1" applyBorder="1" applyAlignment="1">
      <alignment horizontal="left"/>
    </xf>
    <xf numFmtId="0" fontId="75" fillId="0" borderId="0" xfId="0" applyFont="1" applyAlignment="1">
      <alignment/>
    </xf>
    <xf numFmtId="0" fontId="85" fillId="0" borderId="0" xfId="0" applyFont="1" applyAlignment="1">
      <alignment horizontal="left"/>
    </xf>
    <xf numFmtId="2" fontId="75" fillId="0" borderId="15" xfId="0" applyNumberFormat="1" applyFont="1" applyBorder="1" applyAlignment="1">
      <alignment horizontal="left" vertical="center"/>
    </xf>
    <xf numFmtId="2" fontId="75" fillId="0" borderId="10" xfId="0" applyNumberFormat="1" applyFont="1" applyBorder="1" applyAlignment="1">
      <alignment horizontal="left" vertical="center"/>
    </xf>
    <xf numFmtId="0" fontId="75" fillId="0" borderId="0" xfId="0" applyFont="1" applyAlignment="1">
      <alignment horizontal="left"/>
    </xf>
    <xf numFmtId="2" fontId="75" fillId="0" borderId="14" xfId="0" applyNumberFormat="1" applyFont="1" applyBorder="1" applyAlignment="1">
      <alignment horizontal="left"/>
    </xf>
    <xf numFmtId="2" fontId="75" fillId="0" borderId="11" xfId="0" applyNumberFormat="1" applyFont="1" applyFill="1" applyBorder="1" applyAlignment="1">
      <alignment horizontal="left"/>
    </xf>
    <xf numFmtId="2" fontId="75" fillId="0" borderId="12" xfId="0" applyNumberFormat="1" applyFont="1" applyFill="1" applyBorder="1" applyAlignment="1">
      <alignment horizontal="left"/>
    </xf>
    <xf numFmtId="2" fontId="75" fillId="0" borderId="10" xfId="0" applyNumberFormat="1" applyFont="1" applyFill="1" applyBorder="1" applyAlignment="1">
      <alignment horizontal="left"/>
    </xf>
    <xf numFmtId="2" fontId="75" fillId="0" borderId="11" xfId="42" applyNumberFormat="1" applyFont="1" applyBorder="1" applyAlignment="1">
      <alignment horizontal="left"/>
    </xf>
    <xf numFmtId="2" fontId="75" fillId="0" borderId="12" xfId="42" applyNumberFormat="1" applyFont="1" applyBorder="1" applyAlignment="1">
      <alignment horizontal="left"/>
    </xf>
    <xf numFmtId="2" fontId="75" fillId="0" borderId="10" xfId="42" applyNumberFormat="1" applyFont="1" applyBorder="1" applyAlignment="1">
      <alignment horizontal="left"/>
    </xf>
    <xf numFmtId="2" fontId="3" fillId="0" borderId="15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left"/>
    </xf>
    <xf numFmtId="2" fontId="75" fillId="0" borderId="11" xfId="0" applyNumberFormat="1" applyFont="1" applyBorder="1" applyAlignment="1">
      <alignment horizontal="left" wrapText="1"/>
    </xf>
    <xf numFmtId="0" fontId="84" fillId="0" borderId="26" xfId="0" applyFont="1" applyBorder="1" applyAlignment="1">
      <alignment horizontal="left"/>
    </xf>
    <xf numFmtId="2" fontId="77" fillId="0" borderId="10" xfId="0" applyNumberFormat="1" applyFont="1" applyBorder="1" applyAlignment="1">
      <alignment horizontal="left" vertical="center"/>
    </xf>
    <xf numFmtId="0" fontId="81" fillId="0" borderId="0" xfId="0" applyFont="1" applyAlignment="1">
      <alignment/>
    </xf>
    <xf numFmtId="0" fontId="78" fillId="0" borderId="27" xfId="0" applyFont="1" applyBorder="1" applyAlignment="1">
      <alignment horizontal="left"/>
    </xf>
    <xf numFmtId="1" fontId="85" fillId="0" borderId="11" xfId="0" applyNumberFormat="1" applyFont="1" applyBorder="1" applyAlignment="1">
      <alignment horizontal="left" vertical="center"/>
    </xf>
    <xf numFmtId="0" fontId="86" fillId="0" borderId="12" xfId="0" applyFont="1" applyBorder="1" applyAlignment="1">
      <alignment horizontal="left"/>
    </xf>
    <xf numFmtId="0" fontId="86" fillId="0" borderId="10" xfId="0" applyFont="1" applyBorder="1" applyAlignment="1">
      <alignment horizontal="left"/>
    </xf>
    <xf numFmtId="0" fontId="86" fillId="0" borderId="0" xfId="0" applyFont="1" applyAlignment="1">
      <alignment horizontal="left"/>
    </xf>
    <xf numFmtId="2" fontId="86" fillId="0" borderId="12" xfId="0" applyNumberFormat="1" applyFont="1" applyBorder="1" applyAlignment="1">
      <alignment horizontal="left" vertical="center"/>
    </xf>
    <xf numFmtId="2" fontId="86" fillId="0" borderId="10" xfId="0" applyNumberFormat="1" applyFont="1" applyBorder="1" applyAlignment="1">
      <alignment horizontal="left" vertical="center"/>
    </xf>
    <xf numFmtId="2" fontId="86" fillId="0" borderId="11" xfId="0" applyNumberFormat="1" applyFont="1" applyBorder="1" applyAlignment="1">
      <alignment horizontal="left"/>
    </xf>
    <xf numFmtId="2" fontId="86" fillId="0" borderId="12" xfId="0" applyNumberFormat="1" applyFont="1" applyBorder="1" applyAlignment="1">
      <alignment horizontal="left"/>
    </xf>
    <xf numFmtId="2" fontId="86" fillId="0" borderId="10" xfId="0" applyNumberFormat="1" applyFont="1" applyBorder="1" applyAlignment="1">
      <alignment horizontal="left"/>
    </xf>
    <xf numFmtId="2" fontId="86" fillId="0" borderId="14" xfId="0" applyNumberFormat="1" applyFont="1" applyBorder="1" applyAlignment="1">
      <alignment horizontal="left"/>
    </xf>
    <xf numFmtId="1" fontId="86" fillId="0" borderId="11" xfId="0" applyNumberFormat="1" applyFont="1" applyBorder="1" applyAlignment="1">
      <alignment horizontal="left"/>
    </xf>
    <xf numFmtId="1" fontId="86" fillId="0" borderId="12" xfId="0" applyNumberFormat="1" applyFont="1" applyBorder="1" applyAlignment="1">
      <alignment horizontal="left"/>
    </xf>
    <xf numFmtId="1" fontId="86" fillId="0" borderId="10" xfId="0" applyNumberFormat="1" applyFont="1" applyBorder="1" applyAlignment="1">
      <alignment horizontal="left"/>
    </xf>
    <xf numFmtId="2" fontId="86" fillId="0" borderId="11" xfId="44" applyNumberFormat="1" applyFont="1" applyBorder="1" applyAlignment="1">
      <alignment horizontal="left"/>
    </xf>
    <xf numFmtId="2" fontId="86" fillId="0" borderId="12" xfId="44" applyNumberFormat="1" applyFont="1" applyBorder="1" applyAlignment="1">
      <alignment horizontal="left"/>
    </xf>
    <xf numFmtId="2" fontId="86" fillId="0" borderId="10" xfId="44" applyNumberFormat="1" applyFont="1" applyBorder="1" applyAlignment="1">
      <alignment horizontal="left"/>
    </xf>
    <xf numFmtId="2" fontId="86" fillId="0" borderId="11" xfId="0" applyNumberFormat="1" applyFont="1" applyBorder="1" applyAlignment="1">
      <alignment horizontal="left" wrapText="1"/>
    </xf>
    <xf numFmtId="2" fontId="86" fillId="0" borderId="12" xfId="0" applyNumberFormat="1" applyFont="1" applyFill="1" applyBorder="1" applyAlignment="1">
      <alignment horizontal="left"/>
    </xf>
    <xf numFmtId="2" fontId="86" fillId="0" borderId="12" xfId="42" applyNumberFormat="1" applyFont="1" applyBorder="1" applyAlignment="1">
      <alignment horizontal="left"/>
    </xf>
    <xf numFmtId="2" fontId="86" fillId="0" borderId="10" xfId="42" applyNumberFormat="1" applyFont="1" applyBorder="1" applyAlignment="1">
      <alignment horizontal="left"/>
    </xf>
    <xf numFmtId="2" fontId="85" fillId="0" borderId="11" xfId="0" applyNumberFormat="1" applyFont="1" applyBorder="1" applyAlignment="1">
      <alignment horizontal="left"/>
    </xf>
    <xf numFmtId="2" fontId="85" fillId="0" borderId="14" xfId="0" applyNumberFormat="1" applyFont="1" applyBorder="1" applyAlignment="1">
      <alignment horizontal="left"/>
    </xf>
    <xf numFmtId="2" fontId="85" fillId="0" borderId="28" xfId="0" applyNumberFormat="1" applyFont="1" applyBorder="1" applyAlignment="1">
      <alignment horizontal="left"/>
    </xf>
    <xf numFmtId="2" fontId="85" fillId="0" borderId="29" xfId="0" applyNumberFormat="1" applyFont="1" applyBorder="1" applyAlignment="1">
      <alignment horizontal="left"/>
    </xf>
    <xf numFmtId="2" fontId="85" fillId="0" borderId="12" xfId="0" applyNumberFormat="1" applyFont="1" applyBorder="1" applyAlignment="1">
      <alignment horizontal="left"/>
    </xf>
    <xf numFmtId="1" fontId="86" fillId="0" borderId="12" xfId="0" applyNumberFormat="1" applyFont="1" applyBorder="1" applyAlignment="1">
      <alignment horizontal="left" vertical="center"/>
    </xf>
    <xf numFmtId="1" fontId="86" fillId="0" borderId="10" xfId="0" applyNumberFormat="1" applyFont="1" applyBorder="1" applyAlignment="1">
      <alignment horizontal="left" vertical="center"/>
    </xf>
    <xf numFmtId="1" fontId="86" fillId="0" borderId="14" xfId="0" applyNumberFormat="1" applyFont="1" applyBorder="1" applyAlignment="1">
      <alignment horizontal="left"/>
    </xf>
    <xf numFmtId="1" fontId="86" fillId="0" borderId="0" xfId="0" applyNumberFormat="1" applyFont="1" applyBorder="1" applyAlignment="1">
      <alignment horizontal="left"/>
    </xf>
    <xf numFmtId="1" fontId="86" fillId="0" borderId="25" xfId="0" applyNumberFormat="1" applyFont="1" applyBorder="1" applyAlignment="1">
      <alignment horizontal="left"/>
    </xf>
    <xf numFmtId="1" fontId="86" fillId="0" borderId="17" xfId="0" applyNumberFormat="1" applyFont="1" applyBorder="1" applyAlignment="1">
      <alignment horizontal="left"/>
    </xf>
    <xf numFmtId="1" fontId="86" fillId="0" borderId="12" xfId="44" applyNumberFormat="1" applyFont="1" applyBorder="1" applyAlignment="1">
      <alignment horizontal="left"/>
    </xf>
    <xf numFmtId="1" fontId="86" fillId="0" borderId="10" xfId="44" applyNumberFormat="1" applyFont="1" applyBorder="1" applyAlignment="1">
      <alignment horizontal="left"/>
    </xf>
    <xf numFmtId="3" fontId="78" fillId="0" borderId="11" xfId="0" applyNumberFormat="1" applyFont="1" applyBorder="1" applyAlignment="1">
      <alignment horizontal="left"/>
    </xf>
    <xf numFmtId="1" fontId="86" fillId="0" borderId="12" xfId="0" applyNumberFormat="1" applyFont="1" applyFill="1" applyBorder="1" applyAlignment="1">
      <alignment horizontal="left"/>
    </xf>
    <xf numFmtId="1" fontId="86" fillId="0" borderId="11" xfId="42" applyNumberFormat="1" applyFont="1" applyBorder="1" applyAlignment="1">
      <alignment horizontal="left"/>
    </xf>
    <xf numFmtId="1" fontId="86" fillId="0" borderId="12" xfId="42" applyNumberFormat="1" applyFont="1" applyBorder="1" applyAlignment="1">
      <alignment horizontal="left"/>
    </xf>
    <xf numFmtId="1" fontId="86" fillId="0" borderId="10" xfId="42" applyNumberFormat="1" applyFont="1" applyBorder="1" applyAlignment="1">
      <alignment horizontal="left"/>
    </xf>
    <xf numFmtId="1" fontId="85" fillId="0" borderId="11" xfId="0" applyNumberFormat="1" applyFont="1" applyBorder="1" applyAlignment="1">
      <alignment horizontal="left"/>
    </xf>
    <xf numFmtId="1" fontId="85" fillId="0" borderId="27" xfId="0" applyNumberFormat="1" applyFont="1" applyBorder="1" applyAlignment="1">
      <alignment horizontal="left"/>
    </xf>
    <xf numFmtId="0" fontId="87" fillId="0" borderId="27" xfId="0" applyFont="1" applyBorder="1" applyAlignment="1">
      <alignment horizontal="left"/>
    </xf>
    <xf numFmtId="1" fontId="85" fillId="0" borderId="15" xfId="0" applyNumberFormat="1" applyFont="1" applyBorder="1" applyAlignment="1">
      <alignment horizontal="left" vertical="center"/>
    </xf>
    <xf numFmtId="1" fontId="85" fillId="0" borderId="12" xfId="0" applyNumberFormat="1" applyFont="1" applyBorder="1" applyAlignment="1">
      <alignment horizontal="left"/>
    </xf>
    <xf numFmtId="1" fontId="85" fillId="0" borderId="10" xfId="0" applyNumberFormat="1" applyFont="1" applyBorder="1" applyAlignment="1">
      <alignment horizontal="left"/>
    </xf>
    <xf numFmtId="1" fontId="85" fillId="0" borderId="14" xfId="0" applyNumberFormat="1" applyFont="1" applyBorder="1" applyAlignment="1">
      <alignment horizontal="left"/>
    </xf>
    <xf numFmtId="1" fontId="81" fillId="0" borderId="0" xfId="0" applyNumberFormat="1" applyFont="1" applyAlignment="1">
      <alignment horizontal="left"/>
    </xf>
    <xf numFmtId="2" fontId="86" fillId="0" borderId="11" xfId="0" applyNumberFormat="1" applyFont="1" applyBorder="1" applyAlignment="1">
      <alignment horizontal="left" vertical="center"/>
    </xf>
    <xf numFmtId="2" fontId="86" fillId="0" borderId="15" xfId="0" applyNumberFormat="1" applyFont="1" applyBorder="1" applyAlignment="1">
      <alignment horizontal="left"/>
    </xf>
    <xf numFmtId="1" fontId="86" fillId="0" borderId="15" xfId="0" applyNumberFormat="1" applyFont="1" applyBorder="1" applyAlignment="1">
      <alignment horizontal="left"/>
    </xf>
    <xf numFmtId="2" fontId="86" fillId="0" borderId="14" xfId="44" applyNumberFormat="1" applyFont="1" applyBorder="1" applyAlignment="1">
      <alignment horizontal="left"/>
    </xf>
    <xf numFmtId="0" fontId="86" fillId="0" borderId="14" xfId="0" applyFont="1" applyBorder="1" applyAlignment="1">
      <alignment horizontal="left"/>
    </xf>
    <xf numFmtId="1" fontId="86" fillId="0" borderId="14" xfId="0" applyNumberFormat="1" applyFont="1" applyFill="1" applyBorder="1" applyAlignment="1">
      <alignment horizontal="left"/>
    </xf>
    <xf numFmtId="1" fontId="86" fillId="0" borderId="14" xfId="42" applyNumberFormat="1" applyFont="1" applyBorder="1" applyAlignment="1">
      <alignment horizontal="left"/>
    </xf>
    <xf numFmtId="1" fontId="85" fillId="0" borderId="15" xfId="0" applyNumberFormat="1" applyFont="1" applyBorder="1" applyAlignment="1">
      <alignment horizontal="left"/>
    </xf>
    <xf numFmtId="1" fontId="85" fillId="0" borderId="28" xfId="0" applyNumberFormat="1" applyFont="1" applyBorder="1" applyAlignment="1">
      <alignment horizontal="left"/>
    </xf>
    <xf numFmtId="1" fontId="85" fillId="0" borderId="29" xfId="0" applyNumberFormat="1" applyFont="1" applyBorder="1" applyAlignment="1">
      <alignment horizontal="left"/>
    </xf>
    <xf numFmtId="0" fontId="86" fillId="0" borderId="17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2" fontId="85" fillId="0" borderId="11" xfId="0" applyNumberFormat="1" applyFont="1" applyBorder="1" applyAlignment="1">
      <alignment horizontal="left" vertical="center"/>
    </xf>
    <xf numFmtId="2" fontId="85" fillId="0" borderId="12" xfId="0" applyNumberFormat="1" applyFont="1" applyBorder="1" applyAlignment="1">
      <alignment horizontal="left" vertical="center"/>
    </xf>
    <xf numFmtId="2" fontId="85" fillId="0" borderId="10" xfId="0" applyNumberFormat="1" applyFont="1" applyBorder="1" applyAlignment="1">
      <alignment horizontal="left" vertical="center"/>
    </xf>
    <xf numFmtId="2" fontId="85" fillId="0" borderId="15" xfId="0" applyNumberFormat="1" applyFont="1" applyBorder="1" applyAlignment="1">
      <alignment horizontal="left"/>
    </xf>
    <xf numFmtId="2" fontId="85" fillId="0" borderId="10" xfId="0" applyNumberFormat="1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86" fillId="0" borderId="30" xfId="0" applyNumberFormat="1" applyFont="1" applyBorder="1" applyAlignment="1">
      <alignment horizontal="left" vertical="center"/>
    </xf>
    <xf numFmtId="2" fontId="86" fillId="0" borderId="31" xfId="0" applyNumberFormat="1" applyFont="1" applyBorder="1" applyAlignment="1">
      <alignment horizontal="left" vertical="center"/>
    </xf>
    <xf numFmtId="2" fontId="86" fillId="0" borderId="32" xfId="0" applyNumberFormat="1" applyFont="1" applyBorder="1" applyAlignment="1">
      <alignment horizontal="left" vertical="center"/>
    </xf>
    <xf numFmtId="2" fontId="86" fillId="0" borderId="33" xfId="0" applyNumberFormat="1" applyFont="1" applyBorder="1" applyAlignment="1">
      <alignment horizontal="left"/>
    </xf>
    <xf numFmtId="2" fontId="86" fillId="0" borderId="31" xfId="0" applyNumberFormat="1" applyFont="1" applyBorder="1" applyAlignment="1">
      <alignment horizontal="left"/>
    </xf>
    <xf numFmtId="1" fontId="86" fillId="0" borderId="32" xfId="0" applyNumberFormat="1" applyFont="1" applyBorder="1" applyAlignment="1">
      <alignment horizontal="left"/>
    </xf>
    <xf numFmtId="1" fontId="86" fillId="0" borderId="33" xfId="0" applyNumberFormat="1" applyFont="1" applyBorder="1" applyAlignment="1">
      <alignment horizontal="left"/>
    </xf>
    <xf numFmtId="1" fontId="86" fillId="0" borderId="31" xfId="0" applyNumberFormat="1" applyFont="1" applyBorder="1" applyAlignment="1">
      <alignment horizontal="left"/>
    </xf>
    <xf numFmtId="2" fontId="86" fillId="0" borderId="32" xfId="0" applyNumberFormat="1" applyFont="1" applyBorder="1" applyAlignment="1">
      <alignment horizontal="left"/>
    </xf>
    <xf numFmtId="2" fontId="86" fillId="0" borderId="30" xfId="0" applyNumberFormat="1" applyFont="1" applyBorder="1" applyAlignment="1">
      <alignment horizontal="left"/>
    </xf>
    <xf numFmtId="2" fontId="86" fillId="0" borderId="34" xfId="0" applyNumberFormat="1" applyFont="1" applyBorder="1" applyAlignment="1">
      <alignment horizontal="left"/>
    </xf>
    <xf numFmtId="1" fontId="86" fillId="0" borderId="30" xfId="0" applyNumberFormat="1" applyFont="1" applyBorder="1" applyAlignment="1">
      <alignment horizontal="left"/>
    </xf>
    <xf numFmtId="1" fontId="86" fillId="0" borderId="34" xfId="0" applyNumberFormat="1" applyFont="1" applyBorder="1" applyAlignment="1">
      <alignment horizontal="left"/>
    </xf>
    <xf numFmtId="2" fontId="86" fillId="0" borderId="30" xfId="44" applyNumberFormat="1" applyFont="1" applyBorder="1" applyAlignment="1">
      <alignment horizontal="left"/>
    </xf>
    <xf numFmtId="2" fontId="86" fillId="0" borderId="31" xfId="44" applyNumberFormat="1" applyFont="1" applyBorder="1" applyAlignment="1">
      <alignment horizontal="left"/>
    </xf>
    <xf numFmtId="2" fontId="86" fillId="0" borderId="34" xfId="44" applyNumberFormat="1" applyFont="1" applyBorder="1" applyAlignment="1">
      <alignment horizontal="left"/>
    </xf>
    <xf numFmtId="2" fontId="86" fillId="0" borderId="30" xfId="0" applyNumberFormat="1" applyFont="1" applyBorder="1" applyAlignment="1">
      <alignment horizontal="left" wrapText="1"/>
    </xf>
    <xf numFmtId="1" fontId="86" fillId="0" borderId="31" xfId="0" applyNumberFormat="1" applyFont="1" applyFill="1" applyBorder="1" applyAlignment="1">
      <alignment horizontal="left"/>
    </xf>
    <xf numFmtId="1" fontId="86" fillId="0" borderId="34" xfId="0" applyNumberFormat="1" applyFont="1" applyFill="1" applyBorder="1" applyAlignment="1">
      <alignment horizontal="left"/>
    </xf>
    <xf numFmtId="1" fontId="86" fillId="0" borderId="30" xfId="42" applyNumberFormat="1" applyFont="1" applyBorder="1" applyAlignment="1">
      <alignment horizontal="left"/>
    </xf>
    <xf numFmtId="1" fontId="86" fillId="0" borderId="31" xfId="42" applyNumberFormat="1" applyFont="1" applyBorder="1" applyAlignment="1">
      <alignment horizontal="left"/>
    </xf>
    <xf numFmtId="1" fontId="86" fillId="0" borderId="34" xfId="42" applyNumberFormat="1" applyFont="1" applyBorder="1" applyAlignment="1">
      <alignment horizontal="left"/>
    </xf>
    <xf numFmtId="1" fontId="85" fillId="0" borderId="30" xfId="0" applyNumberFormat="1" applyFont="1" applyBorder="1" applyAlignment="1">
      <alignment horizontal="left"/>
    </xf>
    <xf numFmtId="1" fontId="85" fillId="0" borderId="33" xfId="0" applyNumberFormat="1" applyFont="1" applyBorder="1" applyAlignment="1">
      <alignment horizontal="left"/>
    </xf>
    <xf numFmtId="1" fontId="85" fillId="0" borderId="35" xfId="0" applyNumberFormat="1" applyFont="1" applyBorder="1" applyAlignment="1">
      <alignment horizontal="left"/>
    </xf>
    <xf numFmtId="1" fontId="85" fillId="0" borderId="36" xfId="0" applyNumberFormat="1" applyFont="1" applyBorder="1" applyAlignment="1">
      <alignment horizontal="left"/>
    </xf>
    <xf numFmtId="0" fontId="86" fillId="0" borderId="37" xfId="0" applyFont="1" applyBorder="1" applyAlignment="1">
      <alignment horizontal="left"/>
    </xf>
    <xf numFmtId="0" fontId="86" fillId="0" borderId="38" xfId="0" applyFont="1" applyBorder="1" applyAlignment="1">
      <alignment horizontal="left"/>
    </xf>
    <xf numFmtId="0" fontId="86" fillId="0" borderId="39" xfId="0" applyFont="1" applyBorder="1" applyAlignment="1">
      <alignment horizontal="left"/>
    </xf>
    <xf numFmtId="1" fontId="86" fillId="0" borderId="39" xfId="0" applyNumberFormat="1" applyFont="1" applyBorder="1" applyAlignment="1">
      <alignment horizontal="left"/>
    </xf>
    <xf numFmtId="1" fontId="86" fillId="0" borderId="38" xfId="0" applyNumberFormat="1" applyFont="1" applyBorder="1" applyAlignment="1">
      <alignment horizontal="left"/>
    </xf>
    <xf numFmtId="1" fontId="86" fillId="0" borderId="37" xfId="0" applyNumberFormat="1" applyFont="1" applyBorder="1" applyAlignment="1">
      <alignment horizontal="left"/>
    </xf>
    <xf numFmtId="1" fontId="85" fillId="0" borderId="40" xfId="0" applyNumberFormat="1" applyFont="1" applyBorder="1" applyAlignment="1">
      <alignment horizontal="left"/>
    </xf>
    <xf numFmtId="1" fontId="85" fillId="0" borderId="41" xfId="0" applyNumberFormat="1" applyFont="1" applyBorder="1" applyAlignment="1">
      <alignment horizontal="left"/>
    </xf>
    <xf numFmtId="1" fontId="85" fillId="0" borderId="38" xfId="0" applyNumberFormat="1" applyFont="1" applyBorder="1" applyAlignment="1">
      <alignment horizontal="left"/>
    </xf>
    <xf numFmtId="1" fontId="85" fillId="0" borderId="39" xfId="0" applyNumberFormat="1" applyFont="1" applyBorder="1" applyAlignment="1">
      <alignment horizontal="left"/>
    </xf>
    <xf numFmtId="0" fontId="86" fillId="0" borderId="25" xfId="0" applyFont="1" applyBorder="1" applyAlignment="1">
      <alignment horizontal="left"/>
    </xf>
    <xf numFmtId="1" fontId="86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0" fontId="87" fillId="0" borderId="42" xfId="0" applyFont="1" applyBorder="1" applyAlignment="1">
      <alignment horizontal="left"/>
    </xf>
    <xf numFmtId="0" fontId="73" fillId="0" borderId="0" xfId="0" applyFont="1" applyAlignment="1">
      <alignment/>
    </xf>
    <xf numFmtId="0" fontId="87" fillId="0" borderId="43" xfId="0" applyFont="1" applyBorder="1" applyAlignment="1">
      <alignment horizontal="left"/>
    </xf>
    <xf numFmtId="0" fontId="85" fillId="0" borderId="18" xfId="0" applyFont="1" applyBorder="1" applyAlignment="1">
      <alignment horizontal="left" vertical="center"/>
    </xf>
    <xf numFmtId="0" fontId="85" fillId="0" borderId="16" xfId="0" applyFont="1" applyBorder="1" applyAlignment="1">
      <alignment horizontal="left" vertical="center"/>
    </xf>
    <xf numFmtId="0" fontId="85" fillId="0" borderId="19" xfId="0" applyFont="1" applyBorder="1" applyAlignment="1">
      <alignment horizontal="left" vertical="center"/>
    </xf>
    <xf numFmtId="0" fontId="85" fillId="0" borderId="20" xfId="0" applyFont="1" applyBorder="1" applyAlignment="1">
      <alignment horizontal="left" vertical="center"/>
    </xf>
    <xf numFmtId="1" fontId="85" fillId="0" borderId="19" xfId="0" applyNumberFormat="1" applyFont="1" applyBorder="1" applyAlignment="1">
      <alignment horizontal="left" vertical="center"/>
    </xf>
    <xf numFmtId="1" fontId="85" fillId="0" borderId="20" xfId="0" applyNumberFormat="1" applyFont="1" applyBorder="1" applyAlignment="1">
      <alignment horizontal="left" vertical="center"/>
    </xf>
    <xf numFmtId="1" fontId="85" fillId="0" borderId="16" xfId="0" applyNumberFormat="1" applyFont="1" applyBorder="1" applyAlignment="1">
      <alignment horizontal="left" vertical="center"/>
    </xf>
    <xf numFmtId="0" fontId="85" fillId="0" borderId="44" xfId="0" applyFont="1" applyBorder="1" applyAlignment="1">
      <alignment horizontal="left" vertical="center"/>
    </xf>
    <xf numFmtId="1" fontId="85" fillId="0" borderId="18" xfId="0" applyNumberFormat="1" applyFont="1" applyBorder="1" applyAlignment="1">
      <alignment horizontal="left" vertical="center"/>
    </xf>
    <xf numFmtId="1" fontId="85" fillId="0" borderId="44" xfId="0" applyNumberFormat="1" applyFont="1" applyBorder="1" applyAlignment="1">
      <alignment horizontal="left" vertical="center"/>
    </xf>
    <xf numFmtId="1" fontId="86" fillId="0" borderId="16" xfId="0" applyNumberFormat="1" applyFont="1" applyBorder="1" applyAlignment="1">
      <alignment horizontal="left"/>
    </xf>
    <xf numFmtId="1" fontId="86" fillId="0" borderId="19" xfId="0" applyNumberFormat="1" applyFont="1" applyBorder="1" applyAlignment="1">
      <alignment horizontal="left"/>
    </xf>
    <xf numFmtId="1" fontId="86" fillId="0" borderId="0" xfId="0" applyNumberFormat="1" applyFont="1" applyAlignment="1">
      <alignment/>
    </xf>
    <xf numFmtId="1" fontId="78" fillId="0" borderId="14" xfId="0" applyNumberFormat="1" applyFont="1" applyBorder="1" applyAlignment="1">
      <alignment horizontal="left"/>
    </xf>
    <xf numFmtId="1" fontId="87" fillId="0" borderId="14" xfId="0" applyNumberFormat="1" applyFont="1" applyBorder="1" applyAlignment="1">
      <alignment horizontal="left"/>
    </xf>
    <xf numFmtId="1" fontId="78" fillId="0" borderId="45" xfId="0" applyNumberFormat="1" applyFont="1" applyBorder="1" applyAlignment="1">
      <alignment horizontal="left"/>
    </xf>
    <xf numFmtId="1" fontId="82" fillId="0" borderId="11" xfId="0" applyNumberFormat="1" applyFont="1" applyBorder="1" applyAlignment="1">
      <alignment horizontal="left" vertical="center"/>
    </xf>
    <xf numFmtId="1" fontId="82" fillId="0" borderId="12" xfId="0" applyNumberFormat="1" applyFont="1" applyBorder="1" applyAlignment="1">
      <alignment horizontal="left" vertical="center"/>
    </xf>
    <xf numFmtId="1" fontId="82" fillId="0" borderId="10" xfId="0" applyNumberFormat="1" applyFont="1" applyBorder="1" applyAlignment="1">
      <alignment horizontal="left" vertical="center"/>
    </xf>
    <xf numFmtId="1" fontId="82" fillId="0" borderId="15" xfId="0" applyNumberFormat="1" applyFont="1" applyBorder="1" applyAlignment="1">
      <alignment horizontal="left"/>
    </xf>
    <xf numFmtId="1" fontId="82" fillId="0" borderId="12" xfId="0" applyNumberFormat="1" applyFont="1" applyBorder="1" applyAlignment="1">
      <alignment horizontal="left"/>
    </xf>
    <xf numFmtId="1" fontId="82" fillId="0" borderId="10" xfId="0" applyNumberFormat="1" applyFont="1" applyBorder="1" applyAlignment="1">
      <alignment horizontal="left"/>
    </xf>
    <xf numFmtId="1" fontId="82" fillId="0" borderId="12" xfId="44" applyNumberFormat="1" applyFont="1" applyBorder="1" applyAlignment="1">
      <alignment horizontal="left"/>
    </xf>
    <xf numFmtId="1" fontId="82" fillId="0" borderId="15" xfId="0" applyNumberFormat="1" applyFont="1" applyBorder="1" applyAlignment="1">
      <alignment horizontal="left" wrapText="1"/>
    </xf>
    <xf numFmtId="1" fontId="87" fillId="0" borderId="12" xfId="0" applyNumberFormat="1" applyFont="1" applyBorder="1" applyAlignment="1">
      <alignment horizontal="left"/>
    </xf>
    <xf numFmtId="1" fontId="82" fillId="0" borderId="12" xfId="0" applyNumberFormat="1" applyFont="1" applyFill="1" applyBorder="1" applyAlignment="1">
      <alignment horizontal="left"/>
    </xf>
    <xf numFmtId="1" fontId="82" fillId="0" borderId="10" xfId="0" applyNumberFormat="1" applyFont="1" applyFill="1" applyBorder="1" applyAlignment="1">
      <alignment horizontal="left"/>
    </xf>
    <xf numFmtId="1" fontId="82" fillId="0" borderId="11" xfId="42" applyNumberFormat="1" applyFont="1" applyBorder="1" applyAlignment="1">
      <alignment horizontal="left"/>
    </xf>
    <xf numFmtId="1" fontId="82" fillId="0" borderId="12" xfId="42" applyNumberFormat="1" applyFont="1" applyBorder="1" applyAlignment="1">
      <alignment horizontal="left"/>
    </xf>
    <xf numFmtId="1" fontId="82" fillId="0" borderId="10" xfId="42" applyNumberFormat="1" applyFont="1" applyBorder="1" applyAlignment="1">
      <alignment horizontal="left"/>
    </xf>
    <xf numFmtId="1" fontId="82" fillId="0" borderId="11" xfId="0" applyNumberFormat="1" applyFont="1" applyBorder="1" applyAlignment="1">
      <alignment horizontal="left"/>
    </xf>
    <xf numFmtId="1" fontId="83" fillId="0" borderId="11" xfId="0" applyNumberFormat="1" applyFont="1" applyBorder="1" applyAlignment="1">
      <alignment horizontal="left" vertical="center"/>
    </xf>
    <xf numFmtId="1" fontId="83" fillId="0" borderId="27" xfId="0" applyNumberFormat="1" applyFont="1" applyBorder="1" applyAlignment="1">
      <alignment horizontal="left" vertical="center"/>
    </xf>
    <xf numFmtId="1" fontId="81" fillId="0" borderId="0" xfId="0" applyNumberFormat="1" applyFont="1" applyBorder="1" applyAlignment="1">
      <alignment horizontal="left"/>
    </xf>
    <xf numFmtId="1" fontId="83" fillId="0" borderId="12" xfId="0" applyNumberFormat="1" applyFont="1" applyBorder="1" applyAlignment="1">
      <alignment horizontal="left" vertical="center"/>
    </xf>
    <xf numFmtId="1" fontId="83" fillId="0" borderId="10" xfId="0" applyNumberFormat="1" applyFont="1" applyBorder="1" applyAlignment="1">
      <alignment horizontal="left" vertical="center"/>
    </xf>
    <xf numFmtId="1" fontId="83" fillId="0" borderId="15" xfId="0" applyNumberFormat="1" applyFont="1" applyBorder="1" applyAlignment="1">
      <alignment horizontal="left"/>
    </xf>
    <xf numFmtId="1" fontId="83" fillId="0" borderId="12" xfId="0" applyNumberFormat="1" applyFont="1" applyBorder="1" applyAlignment="1">
      <alignment horizontal="left"/>
    </xf>
    <xf numFmtId="1" fontId="83" fillId="0" borderId="10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83" fillId="0" borderId="11" xfId="0" applyNumberFormat="1" applyFont="1" applyBorder="1" applyAlignment="1">
      <alignment horizontal="left"/>
    </xf>
    <xf numFmtId="1" fontId="81" fillId="0" borderId="15" xfId="0" applyNumberFormat="1" applyFont="1" applyBorder="1" applyAlignment="1">
      <alignment horizontal="left"/>
    </xf>
    <xf numFmtId="1" fontId="81" fillId="0" borderId="12" xfId="0" applyNumberFormat="1" applyFont="1" applyBorder="1" applyAlignment="1">
      <alignment horizontal="left"/>
    </xf>
    <xf numFmtId="1" fontId="81" fillId="0" borderId="10" xfId="0" applyNumberFormat="1" applyFont="1" applyBorder="1" applyAlignment="1">
      <alignment horizontal="left"/>
    </xf>
    <xf numFmtId="1" fontId="78" fillId="0" borderId="46" xfId="0" applyNumberFormat="1" applyFont="1" applyBorder="1" applyAlignment="1">
      <alignment horizontal="left"/>
    </xf>
    <xf numFmtId="1" fontId="83" fillId="0" borderId="30" xfId="0" applyNumberFormat="1" applyFont="1" applyBorder="1" applyAlignment="1">
      <alignment horizontal="left" vertical="center"/>
    </xf>
    <xf numFmtId="1" fontId="82" fillId="0" borderId="31" xfId="44" applyNumberFormat="1" applyFont="1" applyBorder="1" applyAlignment="1">
      <alignment horizontal="left"/>
    </xf>
    <xf numFmtId="1" fontId="82" fillId="0" borderId="33" xfId="0" applyNumberFormat="1" applyFont="1" applyBorder="1" applyAlignment="1">
      <alignment horizontal="left" wrapText="1"/>
    </xf>
    <xf numFmtId="1" fontId="82" fillId="0" borderId="31" xfId="0" applyNumberFormat="1" applyFont="1" applyBorder="1" applyAlignment="1">
      <alignment horizontal="left"/>
    </xf>
    <xf numFmtId="1" fontId="82" fillId="0" borderId="32" xfId="0" applyNumberFormat="1" applyFont="1" applyBorder="1" applyAlignment="1">
      <alignment horizontal="left"/>
    </xf>
    <xf numFmtId="1" fontId="82" fillId="0" borderId="31" xfId="0" applyNumberFormat="1" applyFont="1" applyFill="1" applyBorder="1" applyAlignment="1">
      <alignment horizontal="left"/>
    </xf>
    <xf numFmtId="1" fontId="82" fillId="0" borderId="32" xfId="0" applyNumberFormat="1" applyFont="1" applyFill="1" applyBorder="1" applyAlignment="1">
      <alignment horizontal="left"/>
    </xf>
    <xf numFmtId="1" fontId="82" fillId="0" borderId="30" xfId="42" applyNumberFormat="1" applyFont="1" applyBorder="1" applyAlignment="1">
      <alignment horizontal="left"/>
    </xf>
    <xf numFmtId="1" fontId="82" fillId="0" borderId="31" xfId="42" applyNumberFormat="1" applyFont="1" applyBorder="1" applyAlignment="1">
      <alignment horizontal="left"/>
    </xf>
    <xf numFmtId="1" fontId="82" fillId="0" borderId="32" xfId="42" applyNumberFormat="1" applyFont="1" applyBorder="1" applyAlignment="1">
      <alignment horizontal="left"/>
    </xf>
    <xf numFmtId="1" fontId="82" fillId="0" borderId="30" xfId="0" applyNumberFormat="1" applyFont="1" applyBorder="1" applyAlignment="1">
      <alignment horizontal="left" vertical="center"/>
    </xf>
    <xf numFmtId="1" fontId="82" fillId="0" borderId="31" xfId="0" applyNumberFormat="1" applyFont="1" applyBorder="1" applyAlignment="1">
      <alignment horizontal="left" vertical="center"/>
    </xf>
    <xf numFmtId="1" fontId="82" fillId="0" borderId="32" xfId="0" applyNumberFormat="1" applyFont="1" applyBorder="1" applyAlignment="1">
      <alignment horizontal="left" vertical="center"/>
    </xf>
    <xf numFmtId="1" fontId="82" fillId="0" borderId="33" xfId="0" applyNumberFormat="1" applyFont="1" applyBorder="1" applyAlignment="1">
      <alignment horizontal="left"/>
    </xf>
    <xf numFmtId="1" fontId="82" fillId="0" borderId="30" xfId="0" applyNumberFormat="1" applyFont="1" applyBorder="1" applyAlignment="1">
      <alignment horizontal="left"/>
    </xf>
    <xf numFmtId="1" fontId="83" fillId="0" borderId="42" xfId="0" applyNumberFormat="1" applyFont="1" applyBorder="1" applyAlignment="1">
      <alignment horizontal="left" vertical="center"/>
    </xf>
    <xf numFmtId="1" fontId="79" fillId="0" borderId="26" xfId="0" applyNumberFormat="1" applyFont="1" applyBorder="1" applyAlignment="1">
      <alignment horizontal="left"/>
    </xf>
    <xf numFmtId="1" fontId="79" fillId="0" borderId="19" xfId="0" applyNumberFormat="1" applyFont="1" applyBorder="1" applyAlignment="1">
      <alignment horizontal="left"/>
    </xf>
    <xf numFmtId="1" fontId="75" fillId="0" borderId="19" xfId="0" applyNumberFormat="1" applyFont="1" applyBorder="1" applyAlignment="1">
      <alignment horizontal="left"/>
    </xf>
    <xf numFmtId="1" fontId="76" fillId="0" borderId="15" xfId="0" applyNumberFormat="1" applyFont="1" applyBorder="1" applyAlignment="1">
      <alignment horizontal="left" wrapText="1"/>
    </xf>
    <xf numFmtId="1" fontId="79" fillId="0" borderId="10" xfId="0" applyNumberFormat="1" applyFont="1" applyBorder="1" applyAlignment="1">
      <alignment horizontal="left"/>
    </xf>
    <xf numFmtId="1" fontId="81" fillId="0" borderId="0" xfId="0" applyNumberFormat="1" applyFont="1" applyAlignment="1">
      <alignment/>
    </xf>
    <xf numFmtId="1" fontId="79" fillId="0" borderId="18" xfId="0" applyNumberFormat="1" applyFont="1" applyBorder="1" applyAlignment="1">
      <alignment horizontal="left"/>
    </xf>
    <xf numFmtId="1" fontId="79" fillId="0" borderId="16" xfId="0" applyNumberFormat="1" applyFont="1" applyBorder="1" applyAlignment="1">
      <alignment horizontal="left"/>
    </xf>
    <xf numFmtId="1" fontId="79" fillId="0" borderId="11" xfId="0" applyNumberFormat="1" applyFont="1" applyBorder="1" applyAlignment="1">
      <alignment horizontal="left"/>
    </xf>
    <xf numFmtId="1" fontId="79" fillId="0" borderId="12" xfId="0" applyNumberFormat="1" applyFont="1" applyBorder="1" applyAlignment="1">
      <alignment horizontal="left"/>
    </xf>
    <xf numFmtId="1" fontId="79" fillId="0" borderId="24" xfId="0" applyNumberFormat="1" applyFont="1" applyBorder="1" applyAlignment="1">
      <alignment horizontal="left"/>
    </xf>
    <xf numFmtId="1" fontId="79" fillId="0" borderId="13" xfId="0" applyNumberFormat="1" applyFont="1" applyBorder="1" applyAlignment="1">
      <alignment horizontal="left"/>
    </xf>
    <xf numFmtId="1" fontId="79" fillId="0" borderId="23" xfId="0" applyNumberFormat="1" applyFont="1" applyBorder="1" applyAlignment="1">
      <alignment horizontal="left"/>
    </xf>
    <xf numFmtId="1" fontId="75" fillId="0" borderId="28" xfId="0" applyNumberFormat="1" applyFont="1" applyBorder="1" applyAlignment="1">
      <alignment horizontal="left" vertical="center"/>
    </xf>
    <xf numFmtId="1" fontId="76" fillId="0" borderId="14" xfId="0" applyNumberFormat="1" applyFont="1" applyBorder="1" applyAlignment="1">
      <alignment horizontal="left" vertical="center"/>
    </xf>
    <xf numFmtId="1" fontId="76" fillId="0" borderId="28" xfId="0" applyNumberFormat="1" applyFont="1" applyBorder="1" applyAlignment="1">
      <alignment horizontal="left" vertical="center"/>
    </xf>
    <xf numFmtId="1" fontId="76" fillId="0" borderId="11" xfId="42" applyNumberFormat="1" applyFont="1" applyBorder="1" applyAlignment="1">
      <alignment horizontal="left"/>
    </xf>
    <xf numFmtId="1" fontId="6" fillId="0" borderId="12" xfId="44" applyNumberFormat="1" applyFont="1" applyBorder="1" applyAlignment="1">
      <alignment horizontal="left"/>
    </xf>
    <xf numFmtId="1" fontId="6" fillId="0" borderId="12" xfId="0" applyNumberFormat="1" applyFont="1" applyBorder="1" applyAlignment="1">
      <alignment horizontal="left"/>
    </xf>
    <xf numFmtId="1" fontId="6" fillId="0" borderId="12" xfId="0" applyNumberFormat="1" applyFont="1" applyFill="1" applyBorder="1" applyAlignment="1">
      <alignment horizontal="left"/>
    </xf>
    <xf numFmtId="1" fontId="6" fillId="0" borderId="12" xfId="42" applyNumberFormat="1" applyFont="1" applyBorder="1" applyAlignment="1">
      <alignment horizontal="left"/>
    </xf>
    <xf numFmtId="2" fontId="76" fillId="0" borderId="14" xfId="0" applyNumberFormat="1" applyFont="1" applyBorder="1" applyAlignment="1">
      <alignment horizontal="left"/>
    </xf>
    <xf numFmtId="2" fontId="76" fillId="0" borderId="11" xfId="44" applyNumberFormat="1" applyFont="1" applyBorder="1" applyAlignment="1">
      <alignment horizontal="left"/>
    </xf>
    <xf numFmtId="2" fontId="76" fillId="0" borderId="12" xfId="0" applyNumberFormat="1" applyFont="1" applyFill="1" applyBorder="1" applyAlignment="1">
      <alignment horizontal="left"/>
    </xf>
    <xf numFmtId="2" fontId="76" fillId="0" borderId="12" xfId="42" applyNumberFormat="1" applyFont="1" applyBorder="1" applyAlignment="1">
      <alignment horizontal="left"/>
    </xf>
    <xf numFmtId="2" fontId="76" fillId="0" borderId="28" xfId="0" applyNumberFormat="1" applyFont="1" applyBorder="1" applyAlignment="1">
      <alignment horizontal="left" vertical="center"/>
    </xf>
    <xf numFmtId="165" fontId="76" fillId="0" borderId="12" xfId="44" applyNumberFormat="1" applyFont="1" applyBorder="1" applyAlignment="1">
      <alignment horizontal="left"/>
    </xf>
    <xf numFmtId="1" fontId="76" fillId="0" borderId="0" xfId="0" applyNumberFormat="1" applyFont="1" applyFill="1" applyAlignment="1">
      <alignment horizontal="left"/>
    </xf>
    <xf numFmtId="1" fontId="76" fillId="0" borderId="0" xfId="0" applyNumberFormat="1" applyFont="1" applyAlignment="1">
      <alignment/>
    </xf>
    <xf numFmtId="1" fontId="6" fillId="0" borderId="10" xfId="44" applyNumberFormat="1" applyFont="1" applyBorder="1" applyAlignment="1">
      <alignment horizontal="left"/>
    </xf>
    <xf numFmtId="1" fontId="76" fillId="0" borderId="13" xfId="0" applyNumberFormat="1" applyFont="1" applyBorder="1" applyAlignment="1">
      <alignment horizontal="left"/>
    </xf>
    <xf numFmtId="1" fontId="76" fillId="0" borderId="23" xfId="0" applyNumberFormat="1" applyFont="1" applyBorder="1" applyAlignment="1">
      <alignment horizontal="left"/>
    </xf>
    <xf numFmtId="0" fontId="85" fillId="0" borderId="47" xfId="0" applyFont="1" applyBorder="1" applyAlignment="1">
      <alignment horizontal="left" vertical="center"/>
    </xf>
    <xf numFmtId="0" fontId="85" fillId="0" borderId="48" xfId="0" applyFont="1" applyBorder="1" applyAlignment="1">
      <alignment horizontal="left" vertical="center"/>
    </xf>
    <xf numFmtId="0" fontId="85" fillId="0" borderId="49" xfId="0" applyFont="1" applyBorder="1" applyAlignment="1">
      <alignment horizontal="left" vertical="center"/>
    </xf>
    <xf numFmtId="1" fontId="86" fillId="0" borderId="15" xfId="0" applyNumberFormat="1" applyFont="1" applyFill="1" applyBorder="1" applyAlignment="1">
      <alignment horizontal="left"/>
    </xf>
    <xf numFmtId="1" fontId="86" fillId="0" borderId="33" xfId="0" applyNumberFormat="1" applyFont="1" applyFill="1" applyBorder="1" applyAlignment="1">
      <alignment horizontal="left"/>
    </xf>
    <xf numFmtId="1" fontId="78" fillId="0" borderId="12" xfId="0" applyNumberFormat="1" applyFont="1" applyBorder="1" applyAlignment="1">
      <alignment horizontal="left"/>
    </xf>
    <xf numFmtId="0" fontId="85" fillId="0" borderId="50" xfId="0" applyFont="1" applyBorder="1" applyAlignment="1">
      <alignment horizontal="left" vertical="center"/>
    </xf>
    <xf numFmtId="0" fontId="85" fillId="0" borderId="51" xfId="0" applyFont="1" applyBorder="1" applyAlignment="1">
      <alignment horizontal="left" vertical="center"/>
    </xf>
    <xf numFmtId="0" fontId="85" fillId="0" borderId="52" xfId="0" applyFont="1" applyBorder="1" applyAlignment="1">
      <alignment horizontal="left" vertical="center"/>
    </xf>
    <xf numFmtId="1" fontId="78" fillId="0" borderId="47" xfId="0" applyNumberFormat="1" applyFont="1" applyBorder="1" applyAlignment="1">
      <alignment horizontal="left"/>
    </xf>
    <xf numFmtId="1" fontId="78" fillId="0" borderId="48" xfId="0" applyNumberFormat="1" applyFont="1" applyBorder="1" applyAlignment="1">
      <alignment horizontal="left"/>
    </xf>
    <xf numFmtId="1" fontId="78" fillId="0" borderId="49" xfId="0" applyNumberFormat="1" applyFont="1" applyBorder="1" applyAlignment="1">
      <alignment horizontal="left"/>
    </xf>
    <xf numFmtId="1" fontId="78" fillId="0" borderId="11" xfId="0" applyNumberFormat="1" applyFont="1" applyBorder="1" applyAlignment="1">
      <alignment horizontal="left"/>
    </xf>
    <xf numFmtId="1" fontId="78" fillId="0" borderId="10" xfId="0" applyNumberFormat="1" applyFont="1" applyBorder="1" applyAlignment="1">
      <alignment horizontal="left"/>
    </xf>
    <xf numFmtId="1" fontId="86" fillId="0" borderId="24" xfId="0" applyNumberFormat="1" applyFont="1" applyBorder="1" applyAlignment="1">
      <alignment horizontal="left"/>
    </xf>
    <xf numFmtId="1" fontId="86" fillId="0" borderId="13" xfId="0" applyNumberFormat="1" applyFont="1" applyBorder="1" applyAlignment="1">
      <alignment horizontal="left"/>
    </xf>
    <xf numFmtId="1" fontId="86" fillId="0" borderId="23" xfId="0" applyNumberFormat="1" applyFont="1" applyBorder="1" applyAlignment="1">
      <alignment horizontal="left"/>
    </xf>
    <xf numFmtId="0" fontId="86" fillId="0" borderId="40" xfId="0" applyFont="1" applyBorder="1" applyAlignment="1">
      <alignment horizontal="left"/>
    </xf>
    <xf numFmtId="0" fontId="86" fillId="0" borderId="53" xfId="0" applyFont="1" applyBorder="1" applyAlignment="1">
      <alignment horizontal="left"/>
    </xf>
    <xf numFmtId="0" fontId="86" fillId="0" borderId="54" xfId="0" applyFont="1" applyBorder="1" applyAlignment="1">
      <alignment horizontal="left"/>
    </xf>
    <xf numFmtId="2" fontId="76" fillId="0" borderId="15" xfId="0" applyNumberFormat="1" applyFont="1" applyBorder="1" applyAlignment="1">
      <alignment horizontal="left" vertical="center"/>
    </xf>
    <xf numFmtId="0" fontId="78" fillId="0" borderId="55" xfId="0" applyFont="1" applyBorder="1" applyAlignment="1">
      <alignment horizontal="left"/>
    </xf>
    <xf numFmtId="2" fontId="83" fillId="0" borderId="27" xfId="0" applyNumberFormat="1" applyFont="1" applyBorder="1" applyAlignment="1">
      <alignment horizontal="left"/>
    </xf>
    <xf numFmtId="0" fontId="78" fillId="0" borderId="42" xfId="0" applyFont="1" applyBorder="1" applyAlignment="1">
      <alignment horizontal="left"/>
    </xf>
    <xf numFmtId="2" fontId="82" fillId="0" borderId="30" xfId="0" applyNumberFormat="1" applyFont="1" applyBorder="1" applyAlignment="1">
      <alignment horizontal="left"/>
    </xf>
    <xf numFmtId="2" fontId="82" fillId="0" borderId="31" xfId="0" applyNumberFormat="1" applyFont="1" applyBorder="1" applyAlignment="1">
      <alignment horizontal="left"/>
    </xf>
    <xf numFmtId="2" fontId="82" fillId="0" borderId="34" xfId="0" applyNumberFormat="1" applyFont="1" applyBorder="1" applyAlignment="1">
      <alignment horizontal="left"/>
    </xf>
    <xf numFmtId="2" fontId="82" fillId="0" borderId="32" xfId="0" applyNumberFormat="1" applyFont="1" applyBorder="1" applyAlignment="1">
      <alignment horizontal="left"/>
    </xf>
    <xf numFmtId="2" fontId="82" fillId="0" borderId="33" xfId="0" applyNumberFormat="1" applyFont="1" applyBorder="1" applyAlignment="1">
      <alignment horizontal="left"/>
    </xf>
    <xf numFmtId="2" fontId="82" fillId="0" borderId="30" xfId="0" applyNumberFormat="1" applyFont="1" applyFill="1" applyBorder="1" applyAlignment="1">
      <alignment horizontal="left"/>
    </xf>
    <xf numFmtId="2" fontId="82" fillId="0" borderId="31" xfId="0" applyNumberFormat="1" applyFont="1" applyFill="1" applyBorder="1" applyAlignment="1">
      <alignment horizontal="left"/>
    </xf>
    <xf numFmtId="2" fontId="82" fillId="0" borderId="32" xfId="0" applyNumberFormat="1" applyFont="1" applyFill="1" applyBorder="1" applyAlignment="1">
      <alignment horizontal="left"/>
    </xf>
    <xf numFmtId="2" fontId="82" fillId="0" borderId="33" xfId="42" applyNumberFormat="1" applyFont="1" applyBorder="1" applyAlignment="1">
      <alignment horizontal="left"/>
    </xf>
    <xf numFmtId="2" fontId="82" fillId="0" borderId="31" xfId="42" applyNumberFormat="1" applyFont="1" applyBorder="1" applyAlignment="1">
      <alignment horizontal="left"/>
    </xf>
    <xf numFmtId="2" fontId="82" fillId="0" borderId="32" xfId="42" applyNumberFormat="1" applyFont="1" applyBorder="1" applyAlignment="1">
      <alignment horizontal="left"/>
    </xf>
    <xf numFmtId="2" fontId="83" fillId="0" borderId="33" xfId="0" applyNumberFormat="1" applyFont="1" applyBorder="1" applyAlignment="1">
      <alignment horizontal="left"/>
    </xf>
    <xf numFmtId="2" fontId="82" fillId="0" borderId="30" xfId="42" applyNumberFormat="1" applyFont="1" applyBorder="1" applyAlignment="1">
      <alignment horizontal="left"/>
    </xf>
    <xf numFmtId="2" fontId="83" fillId="0" borderId="30" xfId="0" applyNumberFormat="1" applyFont="1" applyBorder="1" applyAlignment="1">
      <alignment horizontal="left"/>
    </xf>
    <xf numFmtId="2" fontId="83" fillId="0" borderId="42" xfId="0" applyNumberFormat="1" applyFont="1" applyBorder="1" applyAlignment="1">
      <alignment horizontal="left"/>
    </xf>
    <xf numFmtId="2" fontId="82" fillId="0" borderId="56" xfId="0" applyNumberFormat="1" applyFont="1" applyBorder="1" applyAlignment="1">
      <alignment horizontal="left"/>
    </xf>
    <xf numFmtId="2" fontId="82" fillId="0" borderId="57" xfId="0" applyNumberFormat="1" applyFont="1" applyBorder="1" applyAlignment="1">
      <alignment horizontal="left"/>
    </xf>
    <xf numFmtId="2" fontId="82" fillId="0" borderId="58" xfId="0" applyNumberFormat="1" applyFont="1" applyBorder="1" applyAlignment="1">
      <alignment horizontal="left"/>
    </xf>
    <xf numFmtId="2" fontId="82" fillId="0" borderId="59" xfId="0" applyNumberFormat="1" applyFont="1" applyBorder="1" applyAlignment="1">
      <alignment horizontal="left"/>
    </xf>
    <xf numFmtId="2" fontId="82" fillId="0" borderId="60" xfId="0" applyNumberFormat="1" applyFont="1" applyBorder="1" applyAlignment="1">
      <alignment horizontal="left"/>
    </xf>
    <xf numFmtId="0" fontId="81" fillId="0" borderId="60" xfId="0" applyFont="1" applyBorder="1" applyAlignment="1">
      <alignment horizontal="left"/>
    </xf>
    <xf numFmtId="2" fontId="82" fillId="0" borderId="56" xfId="0" applyNumberFormat="1" applyFont="1" applyFill="1" applyBorder="1" applyAlignment="1">
      <alignment horizontal="left"/>
    </xf>
    <xf numFmtId="2" fontId="82" fillId="0" borderId="57" xfId="0" applyNumberFormat="1" applyFont="1" applyFill="1" applyBorder="1" applyAlignment="1">
      <alignment horizontal="left"/>
    </xf>
    <xf numFmtId="2" fontId="82" fillId="0" borderId="59" xfId="0" applyNumberFormat="1" applyFont="1" applyFill="1" applyBorder="1" applyAlignment="1">
      <alignment horizontal="left"/>
    </xf>
    <xf numFmtId="2" fontId="82" fillId="0" borderId="60" xfId="42" applyNumberFormat="1" applyFont="1" applyBorder="1" applyAlignment="1">
      <alignment horizontal="left"/>
    </xf>
    <xf numFmtId="2" fontId="82" fillId="0" borderId="57" xfId="42" applyNumberFormat="1" applyFont="1" applyBorder="1" applyAlignment="1">
      <alignment horizontal="left"/>
    </xf>
    <xf numFmtId="2" fontId="82" fillId="0" borderId="59" xfId="42" applyNumberFormat="1" applyFont="1" applyBorder="1" applyAlignment="1">
      <alignment horizontal="left"/>
    </xf>
    <xf numFmtId="2" fontId="83" fillId="0" borderId="60" xfId="0" applyNumberFormat="1" applyFont="1" applyBorder="1" applyAlignment="1">
      <alignment horizontal="left"/>
    </xf>
    <xf numFmtId="2" fontId="82" fillId="0" borderId="56" xfId="42" applyNumberFormat="1" applyFont="1" applyBorder="1" applyAlignment="1">
      <alignment horizontal="left"/>
    </xf>
    <xf numFmtId="2" fontId="83" fillId="0" borderId="56" xfId="0" applyNumberFormat="1" applyFont="1" applyBorder="1" applyAlignment="1">
      <alignment horizontal="left"/>
    </xf>
    <xf numFmtId="2" fontId="83" fillId="0" borderId="61" xfId="0" applyNumberFormat="1" applyFont="1" applyBorder="1" applyAlignment="1">
      <alignment horizontal="left"/>
    </xf>
    <xf numFmtId="2" fontId="76" fillId="0" borderId="33" xfId="0" applyNumberFormat="1" applyFont="1" applyBorder="1" applyAlignment="1">
      <alignment horizontal="left" vertical="center"/>
    </xf>
    <xf numFmtId="2" fontId="76" fillId="0" borderId="31" xfId="0" applyNumberFormat="1" applyFont="1" applyBorder="1" applyAlignment="1">
      <alignment horizontal="left" vertical="center"/>
    </xf>
    <xf numFmtId="2" fontId="76" fillId="0" borderId="34" xfId="0" applyNumberFormat="1" applyFont="1" applyBorder="1" applyAlignment="1">
      <alignment horizontal="left" vertical="center"/>
    </xf>
    <xf numFmtId="2" fontId="76" fillId="0" borderId="30" xfId="0" applyNumberFormat="1" applyFont="1" applyBorder="1" applyAlignment="1">
      <alignment horizontal="left"/>
    </xf>
    <xf numFmtId="0" fontId="76" fillId="0" borderId="31" xfId="0" applyFont="1" applyBorder="1" applyAlignment="1">
      <alignment horizontal="left"/>
    </xf>
    <xf numFmtId="0" fontId="76" fillId="0" borderId="32" xfId="0" applyFont="1" applyBorder="1" applyAlignment="1">
      <alignment horizontal="left"/>
    </xf>
    <xf numFmtId="2" fontId="76" fillId="0" borderId="33" xfId="0" applyNumberFormat="1" applyFont="1" applyBorder="1" applyAlignment="1">
      <alignment horizontal="left"/>
    </xf>
    <xf numFmtId="2" fontId="76" fillId="0" borderId="31" xfId="0" applyNumberFormat="1" applyFont="1" applyBorder="1" applyAlignment="1">
      <alignment horizontal="left"/>
    </xf>
    <xf numFmtId="2" fontId="76" fillId="0" borderId="32" xfId="0" applyNumberFormat="1" applyFont="1" applyBorder="1" applyAlignment="1">
      <alignment horizontal="left"/>
    </xf>
    <xf numFmtId="164" fontId="78" fillId="0" borderId="33" xfId="0" applyNumberFormat="1" applyFont="1" applyBorder="1" applyAlignment="1">
      <alignment horizontal="left"/>
    </xf>
    <xf numFmtId="164" fontId="78" fillId="0" borderId="31" xfId="0" applyNumberFormat="1" applyFont="1" applyBorder="1" applyAlignment="1">
      <alignment horizontal="left"/>
    </xf>
    <xf numFmtId="0" fontId="86" fillId="0" borderId="61" xfId="0" applyFont="1" applyBorder="1" applyAlignment="1">
      <alignment horizontal="left"/>
    </xf>
    <xf numFmtId="2" fontId="75" fillId="0" borderId="60" xfId="0" applyNumberFormat="1" applyFont="1" applyBorder="1" applyAlignment="1">
      <alignment horizontal="left" vertical="center"/>
    </xf>
    <xf numFmtId="2" fontId="75" fillId="0" borderId="57" xfId="0" applyNumberFormat="1" applyFont="1" applyBorder="1" applyAlignment="1">
      <alignment horizontal="left" vertical="center"/>
    </xf>
    <xf numFmtId="2" fontId="75" fillId="0" borderId="58" xfId="0" applyNumberFormat="1" applyFont="1" applyBorder="1" applyAlignment="1">
      <alignment horizontal="left" vertical="center"/>
    </xf>
    <xf numFmtId="2" fontId="75" fillId="0" borderId="56" xfId="0" applyNumberFormat="1" applyFont="1" applyBorder="1" applyAlignment="1">
      <alignment horizontal="left"/>
    </xf>
    <xf numFmtId="0" fontId="75" fillId="0" borderId="57" xfId="0" applyFont="1" applyBorder="1" applyAlignment="1">
      <alignment horizontal="left"/>
    </xf>
    <xf numFmtId="0" fontId="75" fillId="0" borderId="59" xfId="0" applyFont="1" applyBorder="1" applyAlignment="1">
      <alignment horizontal="left"/>
    </xf>
    <xf numFmtId="2" fontId="75" fillId="0" borderId="60" xfId="0" applyNumberFormat="1" applyFont="1" applyBorder="1" applyAlignment="1">
      <alignment horizontal="left"/>
    </xf>
    <xf numFmtId="2" fontId="75" fillId="0" borderId="57" xfId="0" applyNumberFormat="1" applyFont="1" applyBorder="1" applyAlignment="1">
      <alignment horizontal="left"/>
    </xf>
    <xf numFmtId="2" fontId="75" fillId="0" borderId="59" xfId="0" applyNumberFormat="1" applyFont="1" applyBorder="1" applyAlignment="1">
      <alignment horizontal="left"/>
    </xf>
    <xf numFmtId="0" fontId="86" fillId="0" borderId="57" xfId="0" applyFont="1" applyBorder="1" applyAlignment="1">
      <alignment horizontal="left"/>
    </xf>
    <xf numFmtId="0" fontId="86" fillId="0" borderId="59" xfId="0" applyFont="1" applyBorder="1" applyAlignment="1">
      <alignment horizontal="left"/>
    </xf>
    <xf numFmtId="1" fontId="79" fillId="0" borderId="45" xfId="0" applyNumberFormat="1" applyFont="1" applyBorder="1" applyAlignment="1">
      <alignment horizontal="left"/>
    </xf>
    <xf numFmtId="1" fontId="81" fillId="0" borderId="0" xfId="0" applyNumberFormat="1" applyFont="1" applyFill="1" applyAlignment="1">
      <alignment horizontal="left"/>
    </xf>
    <xf numFmtId="1" fontId="79" fillId="0" borderId="27" xfId="0" applyNumberFormat="1" applyFont="1" applyFill="1" applyBorder="1" applyAlignment="1">
      <alignment horizontal="left" vertical="center" wrapText="1"/>
    </xf>
    <xf numFmtId="1" fontId="79" fillId="0" borderId="27" xfId="0" applyNumberFormat="1" applyFont="1" applyFill="1" applyBorder="1" applyAlignment="1">
      <alignment horizontal="left" vertical="top" wrapText="1"/>
    </xf>
    <xf numFmtId="1" fontId="3" fillId="0" borderId="27" xfId="0" applyNumberFormat="1" applyFont="1" applyFill="1" applyBorder="1" applyAlignment="1">
      <alignment horizontal="left" vertical="top" wrapText="1"/>
    </xf>
    <xf numFmtId="1" fontId="6" fillId="0" borderId="27" xfId="0" applyNumberFormat="1" applyFont="1" applyFill="1" applyBorder="1" applyAlignment="1">
      <alignment horizontal="left" vertical="top" wrapText="1"/>
    </xf>
    <xf numFmtId="1" fontId="6" fillId="0" borderId="62" xfId="0" applyNumberFormat="1" applyFont="1" applyFill="1" applyBorder="1" applyAlignment="1">
      <alignment horizontal="left" vertical="top" wrapText="1"/>
    </xf>
    <xf numFmtId="1" fontId="76" fillId="0" borderId="12" xfId="0" applyNumberFormat="1" applyFont="1" applyFill="1" applyBorder="1" applyAlignment="1">
      <alignment horizontal="left" wrapText="1"/>
    </xf>
    <xf numFmtId="1" fontId="76" fillId="0" borderId="12" xfId="0" applyNumberFormat="1" applyFont="1" applyFill="1" applyBorder="1" applyAlignment="1">
      <alignment horizontal="left" vertical="top" shrinkToFit="1"/>
    </xf>
    <xf numFmtId="1" fontId="76" fillId="0" borderId="12" xfId="0" applyNumberFormat="1" applyFont="1" applyFill="1" applyBorder="1" applyAlignment="1">
      <alignment horizontal="left" vertical="top" wrapText="1"/>
    </xf>
    <xf numFmtId="1" fontId="75" fillId="0" borderId="12" xfId="0" applyNumberFormat="1" applyFont="1" applyFill="1" applyBorder="1" applyAlignment="1">
      <alignment horizontal="left" vertical="top" shrinkToFit="1"/>
    </xf>
    <xf numFmtId="1" fontId="76" fillId="0" borderId="11" xfId="0" applyNumberFormat="1" applyFont="1" applyFill="1" applyBorder="1" applyAlignment="1">
      <alignment horizontal="left" wrapText="1"/>
    </xf>
    <xf numFmtId="1" fontId="76" fillId="0" borderId="10" xfId="0" applyNumberFormat="1" applyFont="1" applyFill="1" applyBorder="1" applyAlignment="1">
      <alignment horizontal="left" wrapText="1"/>
    </xf>
    <xf numFmtId="1" fontId="76" fillId="0" borderId="11" xfId="0" applyNumberFormat="1" applyFont="1" applyFill="1" applyBorder="1" applyAlignment="1">
      <alignment horizontal="left" vertical="top" shrinkToFit="1"/>
    </xf>
    <xf numFmtId="1" fontId="76" fillId="0" borderId="10" xfId="0" applyNumberFormat="1" applyFont="1" applyFill="1" applyBorder="1" applyAlignment="1">
      <alignment horizontal="left" vertical="top" shrinkToFit="1"/>
    </xf>
    <xf numFmtId="1" fontId="76" fillId="0" borderId="11" xfId="0" applyNumberFormat="1" applyFont="1" applyFill="1" applyBorder="1" applyAlignment="1">
      <alignment horizontal="left" vertical="top" wrapText="1"/>
    </xf>
    <xf numFmtId="1" fontId="76" fillId="0" borderId="10" xfId="0" applyNumberFormat="1" applyFont="1" applyFill="1" applyBorder="1" applyAlignment="1">
      <alignment horizontal="left" vertical="top" wrapText="1"/>
    </xf>
    <xf numFmtId="1" fontId="75" fillId="0" borderId="11" xfId="0" applyNumberFormat="1" applyFont="1" applyFill="1" applyBorder="1" applyAlignment="1">
      <alignment horizontal="left" vertical="top" shrinkToFit="1"/>
    </xf>
    <xf numFmtId="1" fontId="75" fillId="0" borderId="10" xfId="0" applyNumberFormat="1" applyFont="1" applyFill="1" applyBorder="1" applyAlignment="1">
      <alignment horizontal="left" vertical="top" shrinkToFit="1"/>
    </xf>
    <xf numFmtId="1" fontId="75" fillId="0" borderId="24" xfId="0" applyNumberFormat="1" applyFont="1" applyFill="1" applyBorder="1" applyAlignment="1">
      <alignment horizontal="left" vertical="top" shrinkToFit="1"/>
    </xf>
    <xf numFmtId="1" fontId="75" fillId="0" borderId="13" xfId="0" applyNumberFormat="1" applyFont="1" applyFill="1" applyBorder="1" applyAlignment="1">
      <alignment horizontal="left" vertical="top" shrinkToFit="1"/>
    </xf>
    <xf numFmtId="1" fontId="75" fillId="0" borderId="23" xfId="0" applyNumberFormat="1" applyFont="1" applyFill="1" applyBorder="1" applyAlignment="1">
      <alignment horizontal="left" vertical="top" shrinkToFit="1"/>
    </xf>
    <xf numFmtId="2" fontId="76" fillId="0" borderId="15" xfId="42" applyNumberFormat="1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left"/>
    </xf>
    <xf numFmtId="2" fontId="76" fillId="0" borderId="10" xfId="0" applyNumberFormat="1" applyFont="1" applyFill="1" applyBorder="1" applyAlignment="1">
      <alignment horizontal="left"/>
    </xf>
    <xf numFmtId="1" fontId="76" fillId="0" borderId="27" xfId="42" applyNumberFormat="1" applyFont="1" applyBorder="1" applyAlignment="1">
      <alignment horizontal="left"/>
    </xf>
    <xf numFmtId="1" fontId="6" fillId="0" borderId="10" xfId="42" applyNumberFormat="1" applyFont="1" applyBorder="1" applyAlignment="1">
      <alignment horizontal="left"/>
    </xf>
    <xf numFmtId="2" fontId="76" fillId="0" borderId="10" xfId="42" applyNumberFormat="1" applyFont="1" applyBorder="1" applyAlignment="1">
      <alignment horizontal="left"/>
    </xf>
    <xf numFmtId="1" fontId="76" fillId="0" borderId="0" xfId="0" applyNumberFormat="1" applyFont="1" applyBorder="1" applyAlignment="1">
      <alignment horizontal="left"/>
    </xf>
    <xf numFmtId="1" fontId="76" fillId="0" borderId="25" xfId="0" applyNumberFormat="1" applyFont="1" applyBorder="1" applyAlignment="1">
      <alignment horizontal="left"/>
    </xf>
    <xf numFmtId="2" fontId="76" fillId="0" borderId="22" xfId="42" applyNumberFormat="1" applyFont="1" applyBorder="1" applyAlignment="1">
      <alignment horizontal="left"/>
    </xf>
    <xf numFmtId="2" fontId="76" fillId="0" borderId="13" xfId="42" applyNumberFormat="1" applyFont="1" applyBorder="1" applyAlignment="1">
      <alignment horizontal="left"/>
    </xf>
    <xf numFmtId="2" fontId="76" fillId="0" borderId="23" xfId="42" applyNumberFormat="1" applyFont="1" applyBorder="1" applyAlignment="1">
      <alignment horizontal="left"/>
    </xf>
    <xf numFmtId="2" fontId="75" fillId="0" borderId="47" xfId="0" applyNumberFormat="1" applyFont="1" applyBorder="1" applyAlignment="1">
      <alignment horizontal="left"/>
    </xf>
    <xf numFmtId="2" fontId="75" fillId="0" borderId="48" xfId="0" applyNumberFormat="1" applyFont="1" applyBorder="1" applyAlignment="1">
      <alignment horizontal="left"/>
    </xf>
    <xf numFmtId="2" fontId="76" fillId="0" borderId="48" xfId="0" applyNumberFormat="1" applyFont="1" applyBorder="1" applyAlignment="1">
      <alignment horizontal="left"/>
    </xf>
    <xf numFmtId="2" fontId="76" fillId="0" borderId="49" xfId="0" applyNumberFormat="1" applyFont="1" applyBorder="1" applyAlignment="1">
      <alignment horizontal="left"/>
    </xf>
    <xf numFmtId="0" fontId="76" fillId="0" borderId="0" xfId="0" applyFont="1" applyAlignment="1">
      <alignment horizontal="center"/>
    </xf>
    <xf numFmtId="1" fontId="76" fillId="0" borderId="47" xfId="0" applyNumberFormat="1" applyFont="1" applyBorder="1" applyAlignment="1">
      <alignment horizontal="center" vertical="justify" wrapText="1"/>
    </xf>
    <xf numFmtId="1" fontId="75" fillId="0" borderId="48" xfId="0" applyNumberFormat="1" applyFont="1" applyBorder="1" applyAlignment="1">
      <alignment horizontal="center" vertical="justify" wrapText="1"/>
    </xf>
    <xf numFmtId="0" fontId="75" fillId="0" borderId="63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/>
    </xf>
    <xf numFmtId="0" fontId="75" fillId="0" borderId="64" xfId="0" applyFont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75" fillId="0" borderId="65" xfId="0" applyFont="1" applyBorder="1" applyAlignment="1">
      <alignment horizontal="center" vertical="center"/>
    </xf>
    <xf numFmtId="1" fontId="75" fillId="0" borderId="48" xfId="0" applyNumberFormat="1" applyFont="1" applyBorder="1" applyAlignment="1">
      <alignment horizontal="center" vertical="center"/>
    </xf>
    <xf numFmtId="1" fontId="75" fillId="0" borderId="64" xfId="0" applyNumberFormat="1" applyFont="1" applyBorder="1" applyAlignment="1">
      <alignment horizontal="center" vertical="center"/>
    </xf>
    <xf numFmtId="1" fontId="75" fillId="0" borderId="55" xfId="0" applyNumberFormat="1" applyFont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1" fontId="75" fillId="0" borderId="65" xfId="0" applyNumberFormat="1" applyFont="1" applyBorder="1" applyAlignment="1">
      <alignment horizontal="center" vertical="center"/>
    </xf>
    <xf numFmtId="3" fontId="79" fillId="0" borderId="47" xfId="0" applyNumberFormat="1" applyFont="1" applyBorder="1" applyAlignment="1">
      <alignment horizontal="center"/>
    </xf>
    <xf numFmtId="3" fontId="79" fillId="0" borderId="48" xfId="0" applyNumberFormat="1" applyFont="1" applyBorder="1" applyAlignment="1">
      <alignment horizontal="center"/>
    </xf>
    <xf numFmtId="164" fontId="79" fillId="0" borderId="48" xfId="0" applyNumberFormat="1" applyFont="1" applyBorder="1" applyAlignment="1">
      <alignment horizontal="center"/>
    </xf>
    <xf numFmtId="164" fontId="79" fillId="0" borderId="64" xfId="0" applyNumberFormat="1" applyFont="1" applyBorder="1" applyAlignment="1">
      <alignment horizontal="center"/>
    </xf>
    <xf numFmtId="3" fontId="79" fillId="0" borderId="55" xfId="0" applyNumberFormat="1" applyFont="1" applyBorder="1" applyAlignment="1">
      <alignment horizontal="center"/>
    </xf>
    <xf numFmtId="0" fontId="79" fillId="0" borderId="55" xfId="0" applyFont="1" applyBorder="1" applyAlignment="1">
      <alignment horizontal="center"/>
    </xf>
    <xf numFmtId="1" fontId="84" fillId="0" borderId="11" xfId="0" applyNumberFormat="1" applyFont="1" applyBorder="1" applyAlignment="1">
      <alignment horizontal="center" vertical="justify" wrapText="1"/>
    </xf>
    <xf numFmtId="1" fontId="76" fillId="0" borderId="12" xfId="0" applyNumberFormat="1" applyFont="1" applyBorder="1" applyAlignment="1">
      <alignment horizontal="center" vertical="justify" wrapText="1"/>
    </xf>
    <xf numFmtId="2" fontId="76" fillId="0" borderId="29" xfId="0" applyNumberFormat="1" applyFont="1" applyBorder="1" applyAlignment="1">
      <alignment horizontal="center" vertical="center"/>
    </xf>
    <xf numFmtId="2" fontId="76" fillId="0" borderId="11" xfId="0" applyNumberFormat="1" applyFont="1" applyBorder="1" applyAlignment="1">
      <alignment horizontal="center"/>
    </xf>
    <xf numFmtId="1" fontId="76" fillId="0" borderId="12" xfId="0" applyNumberFormat="1" applyFont="1" applyBorder="1" applyAlignment="1">
      <alignment horizontal="center"/>
    </xf>
    <xf numFmtId="1" fontId="76" fillId="0" borderId="14" xfId="0" applyNumberFormat="1" applyFont="1" applyBorder="1" applyAlignment="1">
      <alignment horizontal="center"/>
    </xf>
    <xf numFmtId="1" fontId="76" fillId="0" borderId="27" xfId="0" applyNumberFormat="1" applyFont="1" applyBorder="1" applyAlignment="1">
      <alignment horizontal="center"/>
    </xf>
    <xf numFmtId="2" fontId="76" fillId="0" borderId="29" xfId="0" applyNumberFormat="1" applyFont="1" applyBorder="1" applyAlignment="1">
      <alignment horizontal="center"/>
    </xf>
    <xf numFmtId="1" fontId="76" fillId="0" borderId="11" xfId="0" applyNumberFormat="1" applyFont="1" applyBorder="1" applyAlignment="1">
      <alignment horizontal="center"/>
    </xf>
    <xf numFmtId="2" fontId="76" fillId="0" borderId="15" xfId="0" applyNumberFormat="1" applyFont="1" applyBorder="1" applyAlignment="1">
      <alignment horizontal="center"/>
    </xf>
    <xf numFmtId="2" fontId="76" fillId="0" borderId="27" xfId="0" applyNumberFormat="1" applyFont="1" applyBorder="1" applyAlignment="1">
      <alignment horizontal="center"/>
    </xf>
    <xf numFmtId="1" fontId="76" fillId="0" borderId="15" xfId="0" applyNumberFormat="1" applyFont="1" applyBorder="1" applyAlignment="1">
      <alignment horizontal="center"/>
    </xf>
    <xf numFmtId="2" fontId="76" fillId="0" borderId="12" xfId="0" applyNumberFormat="1" applyFont="1" applyBorder="1" applyAlignment="1">
      <alignment horizontal="center"/>
    </xf>
    <xf numFmtId="2" fontId="76" fillId="0" borderId="14" xfId="0" applyNumberFormat="1" applyFont="1" applyBorder="1" applyAlignment="1">
      <alignment horizontal="center"/>
    </xf>
    <xf numFmtId="1" fontId="75" fillId="0" borderId="43" xfId="0" applyNumberFormat="1" applyFont="1" applyBorder="1" applyAlignment="1">
      <alignment horizontal="center" vertical="center"/>
    </xf>
    <xf numFmtId="1" fontId="76" fillId="0" borderId="12" xfId="44" applyNumberFormat="1" applyFont="1" applyBorder="1" applyAlignment="1">
      <alignment horizontal="center"/>
    </xf>
    <xf numFmtId="1" fontId="76" fillId="0" borderId="10" xfId="44" applyNumberFormat="1" applyFont="1" applyBorder="1" applyAlignment="1">
      <alignment horizontal="center"/>
    </xf>
    <xf numFmtId="2" fontId="76" fillId="0" borderId="27" xfId="44" applyNumberFormat="1" applyFont="1" applyBorder="1" applyAlignment="1">
      <alignment horizontal="center"/>
    </xf>
    <xf numFmtId="1" fontId="76" fillId="0" borderId="15" xfId="0" applyNumberFormat="1" applyFont="1" applyBorder="1" applyAlignment="1">
      <alignment horizontal="center" wrapText="1"/>
    </xf>
    <xf numFmtId="1" fontId="79" fillId="0" borderId="11" xfId="0" applyNumberFormat="1" applyFont="1" applyBorder="1" applyAlignment="1">
      <alignment horizontal="center"/>
    </xf>
    <xf numFmtId="1" fontId="79" fillId="0" borderId="12" xfId="0" applyNumberFormat="1" applyFont="1" applyBorder="1" applyAlignment="1">
      <alignment horizontal="center"/>
    </xf>
    <xf numFmtId="1" fontId="79" fillId="0" borderId="14" xfId="0" applyNumberFormat="1" applyFont="1" applyBorder="1" applyAlignment="1">
      <alignment horizontal="center"/>
    </xf>
    <xf numFmtId="1" fontId="79" fillId="0" borderId="27" xfId="0" applyNumberFormat="1" applyFont="1" applyBorder="1" applyAlignment="1">
      <alignment horizontal="center"/>
    </xf>
    <xf numFmtId="0" fontId="79" fillId="0" borderId="27" xfId="0" applyFont="1" applyBorder="1" applyAlignment="1">
      <alignment horizontal="center"/>
    </xf>
    <xf numFmtId="1" fontId="76" fillId="0" borderId="11" xfId="0" applyNumberFormat="1" applyFont="1" applyFill="1" applyBorder="1" applyAlignment="1">
      <alignment horizontal="center"/>
    </xf>
    <xf numFmtId="1" fontId="76" fillId="0" borderId="12" xfId="0" applyNumberFormat="1" applyFont="1" applyFill="1" applyBorder="1" applyAlignment="1">
      <alignment horizontal="center"/>
    </xf>
    <xf numFmtId="1" fontId="76" fillId="0" borderId="14" xfId="0" applyNumberFormat="1" applyFont="1" applyFill="1" applyBorder="1" applyAlignment="1">
      <alignment horizontal="center"/>
    </xf>
    <xf numFmtId="1" fontId="76" fillId="0" borderId="27" xfId="0" applyNumberFormat="1" applyFont="1" applyFill="1" applyBorder="1" applyAlignment="1">
      <alignment horizontal="center"/>
    </xf>
    <xf numFmtId="2" fontId="76" fillId="0" borderId="29" xfId="0" applyNumberFormat="1" applyFont="1" applyFill="1" applyBorder="1" applyAlignment="1">
      <alignment horizontal="center"/>
    </xf>
    <xf numFmtId="1" fontId="76" fillId="0" borderId="15" xfId="42" applyNumberFormat="1" applyFont="1" applyBorder="1" applyAlignment="1">
      <alignment horizontal="center"/>
    </xf>
    <xf numFmtId="1" fontId="76" fillId="0" borderId="12" xfId="42" applyNumberFormat="1" applyFont="1" applyBorder="1" applyAlignment="1">
      <alignment horizontal="center"/>
    </xf>
    <xf numFmtId="1" fontId="76" fillId="0" borderId="14" xfId="42" applyNumberFormat="1" applyFont="1" applyBorder="1" applyAlignment="1">
      <alignment horizontal="center"/>
    </xf>
    <xf numFmtId="1" fontId="76" fillId="0" borderId="27" xfId="42" applyNumberFormat="1" applyFont="1" applyBorder="1" applyAlignment="1">
      <alignment horizontal="center"/>
    </xf>
    <xf numFmtId="2" fontId="76" fillId="0" borderId="27" xfId="42" applyNumberFormat="1" applyFont="1" applyBorder="1" applyAlignment="1">
      <alignment horizontal="center"/>
    </xf>
    <xf numFmtId="2" fontId="75" fillId="0" borderId="15" xfId="0" applyNumberFormat="1" applyFont="1" applyBorder="1" applyAlignment="1">
      <alignment horizontal="center"/>
    </xf>
    <xf numFmtId="2" fontId="75" fillId="0" borderId="27" xfId="0" applyNumberFormat="1" applyFont="1" applyBorder="1" applyAlignment="1">
      <alignment horizontal="center"/>
    </xf>
    <xf numFmtId="2" fontId="75" fillId="0" borderId="11" xfId="0" applyNumberFormat="1" applyFont="1" applyBorder="1" applyAlignment="1">
      <alignment horizontal="center"/>
    </xf>
    <xf numFmtId="1" fontId="76" fillId="0" borderId="11" xfId="0" applyNumberFormat="1" applyFont="1" applyBorder="1" applyAlignment="1">
      <alignment horizontal="center" vertical="justify" wrapText="1"/>
    </xf>
    <xf numFmtId="1" fontId="84" fillId="0" borderId="11" xfId="0" applyNumberFormat="1" applyFont="1" applyBorder="1" applyAlignment="1">
      <alignment horizontal="center"/>
    </xf>
    <xf numFmtId="1" fontId="75" fillId="0" borderId="12" xfId="0" applyNumberFormat="1" applyFont="1" applyBorder="1" applyAlignment="1">
      <alignment horizontal="center" vertical="justify" wrapText="1"/>
    </xf>
    <xf numFmtId="2" fontId="75" fillId="0" borderId="29" xfId="0" applyNumberFormat="1" applyFont="1" applyBorder="1" applyAlignment="1">
      <alignment horizontal="center" vertical="center"/>
    </xf>
    <xf numFmtId="1" fontId="75" fillId="0" borderId="12" xfId="0" applyNumberFormat="1" applyFont="1" applyBorder="1" applyAlignment="1">
      <alignment horizontal="center"/>
    </xf>
    <xf numFmtId="1" fontId="75" fillId="0" borderId="14" xfId="0" applyNumberFormat="1" applyFont="1" applyBorder="1" applyAlignment="1">
      <alignment horizontal="center"/>
    </xf>
    <xf numFmtId="1" fontId="75" fillId="0" borderId="27" xfId="0" applyNumberFormat="1" applyFont="1" applyBorder="1" applyAlignment="1">
      <alignment horizontal="center"/>
    </xf>
    <xf numFmtId="2" fontId="75" fillId="0" borderId="29" xfId="0" applyNumberFormat="1" applyFont="1" applyBorder="1" applyAlignment="1">
      <alignment horizontal="center"/>
    </xf>
    <xf numFmtId="1" fontId="75" fillId="0" borderId="11" xfId="0" applyNumberFormat="1" applyFont="1" applyBorder="1" applyAlignment="1">
      <alignment horizontal="center"/>
    </xf>
    <xf numFmtId="1" fontId="75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1" fontId="76" fillId="0" borderId="10" xfId="0" applyNumberFormat="1" applyFont="1" applyBorder="1" applyAlignment="1">
      <alignment horizontal="center"/>
    </xf>
    <xf numFmtId="1" fontId="76" fillId="0" borderId="24" xfId="0" applyNumberFormat="1" applyFont="1" applyBorder="1" applyAlignment="1">
      <alignment horizontal="center" vertical="justify" wrapText="1"/>
    </xf>
    <xf numFmtId="1" fontId="76" fillId="0" borderId="13" xfId="0" applyNumberFormat="1" applyFont="1" applyBorder="1" applyAlignment="1">
      <alignment horizontal="center" vertical="justify" wrapText="1"/>
    </xf>
    <xf numFmtId="2" fontId="76" fillId="0" borderId="66" xfId="0" applyNumberFormat="1" applyFont="1" applyBorder="1" applyAlignment="1">
      <alignment horizontal="center" vertical="center"/>
    </xf>
    <xf numFmtId="2" fontId="76" fillId="0" borderId="24" xfId="0" applyNumberFormat="1" applyFont="1" applyBorder="1" applyAlignment="1">
      <alignment horizontal="center"/>
    </xf>
    <xf numFmtId="1" fontId="76" fillId="0" borderId="13" xfId="0" applyNumberFormat="1" applyFont="1" applyBorder="1" applyAlignment="1">
      <alignment horizontal="center"/>
    </xf>
    <xf numFmtId="1" fontId="76" fillId="0" borderId="67" xfId="0" applyNumberFormat="1" applyFont="1" applyBorder="1" applyAlignment="1">
      <alignment horizontal="center"/>
    </xf>
    <xf numFmtId="1" fontId="76" fillId="0" borderId="62" xfId="0" applyNumberFormat="1" applyFont="1" applyBorder="1" applyAlignment="1">
      <alignment horizontal="center"/>
    </xf>
    <xf numFmtId="2" fontId="76" fillId="0" borderId="66" xfId="0" applyNumberFormat="1" applyFont="1" applyBorder="1" applyAlignment="1">
      <alignment horizontal="center"/>
    </xf>
    <xf numFmtId="1" fontId="76" fillId="0" borderId="24" xfId="0" applyNumberFormat="1" applyFont="1" applyBorder="1" applyAlignment="1">
      <alignment horizontal="center"/>
    </xf>
    <xf numFmtId="2" fontId="76" fillId="0" borderId="22" xfId="0" applyNumberFormat="1" applyFont="1" applyBorder="1" applyAlignment="1">
      <alignment horizontal="center"/>
    </xf>
    <xf numFmtId="2" fontId="76" fillId="0" borderId="62" xfId="0" applyNumberFormat="1" applyFont="1" applyBorder="1" applyAlignment="1">
      <alignment horizontal="center"/>
    </xf>
    <xf numFmtId="1" fontId="76" fillId="0" borderId="22" xfId="0" applyNumberFormat="1" applyFont="1" applyBorder="1" applyAlignment="1">
      <alignment horizontal="center"/>
    </xf>
    <xf numFmtId="1" fontId="75" fillId="0" borderId="68" xfId="0" applyNumberFormat="1" applyFont="1" applyBorder="1" applyAlignment="1">
      <alignment horizontal="center" vertical="center"/>
    </xf>
    <xf numFmtId="1" fontId="76" fillId="0" borderId="23" xfId="0" applyNumberFormat="1" applyFont="1" applyBorder="1" applyAlignment="1">
      <alignment horizontal="center"/>
    </xf>
    <xf numFmtId="1" fontId="76" fillId="0" borderId="22" xfId="0" applyNumberFormat="1" applyFont="1" applyBorder="1" applyAlignment="1">
      <alignment horizontal="center" wrapText="1"/>
    </xf>
    <xf numFmtId="1" fontId="79" fillId="0" borderId="24" xfId="0" applyNumberFormat="1" applyFont="1" applyBorder="1" applyAlignment="1">
      <alignment horizontal="center"/>
    </xf>
    <xf numFmtId="1" fontId="79" fillId="0" borderId="13" xfId="0" applyNumberFormat="1" applyFont="1" applyBorder="1" applyAlignment="1">
      <alignment horizontal="center"/>
    </xf>
    <xf numFmtId="1" fontId="79" fillId="0" borderId="67" xfId="0" applyNumberFormat="1" applyFont="1" applyBorder="1" applyAlignment="1">
      <alignment horizontal="center"/>
    </xf>
    <xf numFmtId="1" fontId="79" fillId="0" borderId="62" xfId="0" applyNumberFormat="1" applyFont="1" applyBorder="1" applyAlignment="1">
      <alignment horizontal="center"/>
    </xf>
    <xf numFmtId="0" fontId="79" fillId="0" borderId="62" xfId="0" applyFont="1" applyBorder="1" applyAlignment="1">
      <alignment horizontal="center"/>
    </xf>
    <xf numFmtId="1" fontId="76" fillId="0" borderId="24" xfId="0" applyNumberFormat="1" applyFont="1" applyFill="1" applyBorder="1" applyAlignment="1">
      <alignment horizontal="center"/>
    </xf>
    <xf numFmtId="1" fontId="76" fillId="0" borderId="13" xfId="0" applyNumberFormat="1" applyFont="1" applyFill="1" applyBorder="1" applyAlignment="1">
      <alignment horizontal="center"/>
    </xf>
    <xf numFmtId="1" fontId="76" fillId="0" borderId="67" xfId="0" applyNumberFormat="1" applyFont="1" applyFill="1" applyBorder="1" applyAlignment="1">
      <alignment horizontal="center"/>
    </xf>
    <xf numFmtId="1" fontId="76" fillId="0" borderId="62" xfId="0" applyNumberFormat="1" applyFont="1" applyFill="1" applyBorder="1" applyAlignment="1">
      <alignment horizontal="center"/>
    </xf>
    <xf numFmtId="2" fontId="76" fillId="0" borderId="66" xfId="0" applyNumberFormat="1" applyFont="1" applyFill="1" applyBorder="1" applyAlignment="1">
      <alignment horizontal="center"/>
    </xf>
    <xf numFmtId="1" fontId="76" fillId="0" borderId="22" xfId="42" applyNumberFormat="1" applyFont="1" applyBorder="1" applyAlignment="1">
      <alignment horizontal="center"/>
    </xf>
    <xf numFmtId="1" fontId="76" fillId="0" borderId="13" xfId="42" applyNumberFormat="1" applyFont="1" applyBorder="1" applyAlignment="1">
      <alignment horizontal="center"/>
    </xf>
    <xf numFmtId="1" fontId="76" fillId="0" borderId="67" xfId="42" applyNumberFormat="1" applyFont="1" applyBorder="1" applyAlignment="1">
      <alignment horizontal="center"/>
    </xf>
    <xf numFmtId="1" fontId="76" fillId="0" borderId="62" xfId="42" applyNumberFormat="1" applyFont="1" applyBorder="1" applyAlignment="1">
      <alignment horizontal="center"/>
    </xf>
    <xf numFmtId="2" fontId="76" fillId="0" borderId="62" xfId="42" applyNumberFormat="1" applyFont="1" applyBorder="1" applyAlignment="1">
      <alignment horizontal="center"/>
    </xf>
    <xf numFmtId="2" fontId="79" fillId="0" borderId="12" xfId="0" applyNumberFormat="1" applyFont="1" applyBorder="1" applyAlignment="1">
      <alignment horizontal="left"/>
    </xf>
    <xf numFmtId="2" fontId="79" fillId="0" borderId="10" xfId="0" applyNumberFormat="1" applyFont="1" applyBorder="1" applyAlignment="1">
      <alignment horizontal="left"/>
    </xf>
    <xf numFmtId="2" fontId="76" fillId="0" borderId="11" xfId="0" applyNumberFormat="1" applyFont="1" applyFill="1" applyBorder="1" applyAlignment="1">
      <alignment horizontal="left"/>
    </xf>
    <xf numFmtId="2" fontId="76" fillId="0" borderId="11" xfId="42" applyNumberFormat="1" applyFont="1" applyBorder="1" applyAlignment="1">
      <alignment horizontal="left"/>
    </xf>
    <xf numFmtId="10" fontId="76" fillId="0" borderId="11" xfId="0" applyNumberFormat="1" applyFont="1" applyBorder="1" applyAlignment="1">
      <alignment horizontal="left"/>
    </xf>
    <xf numFmtId="10" fontId="76" fillId="0" borderId="12" xfId="0" applyNumberFormat="1" applyFont="1" applyBorder="1" applyAlignment="1">
      <alignment horizontal="left"/>
    </xf>
    <xf numFmtId="10" fontId="75" fillId="0" borderId="10" xfId="0" applyNumberFormat="1" applyFont="1" applyBorder="1" applyAlignment="1">
      <alignment horizontal="left" vertical="center"/>
    </xf>
    <xf numFmtId="10" fontId="76" fillId="0" borderId="11" xfId="44" applyNumberFormat="1" applyFont="1" applyBorder="1" applyAlignment="1">
      <alignment horizontal="left"/>
    </xf>
    <xf numFmtId="10" fontId="76" fillId="0" borderId="12" xfId="44" applyNumberFormat="1" applyFont="1" applyBorder="1" applyAlignment="1">
      <alignment horizontal="left"/>
    </xf>
    <xf numFmtId="10" fontId="76" fillId="0" borderId="10" xfId="44" applyNumberFormat="1" applyFont="1" applyBorder="1" applyAlignment="1">
      <alignment horizontal="left"/>
    </xf>
    <xf numFmtId="10" fontId="76" fillId="0" borderId="10" xfId="0" applyNumberFormat="1" applyFont="1" applyBorder="1" applyAlignment="1">
      <alignment horizontal="left"/>
    </xf>
    <xf numFmtId="2" fontId="76" fillId="0" borderId="13" xfId="0" applyNumberFormat="1" applyFont="1" applyBorder="1" applyAlignment="1">
      <alignment horizontal="left" vertical="center"/>
    </xf>
    <xf numFmtId="2" fontId="76" fillId="0" borderId="24" xfId="0" applyNumberFormat="1" applyFont="1" applyBorder="1" applyAlignment="1">
      <alignment horizontal="left"/>
    </xf>
    <xf numFmtId="2" fontId="76" fillId="0" borderId="23" xfId="0" applyNumberFormat="1" applyFont="1" applyBorder="1" applyAlignment="1">
      <alignment horizontal="left"/>
    </xf>
    <xf numFmtId="2" fontId="76" fillId="0" borderId="67" xfId="0" applyNumberFormat="1" applyFont="1" applyBorder="1" applyAlignment="1">
      <alignment horizontal="left"/>
    </xf>
    <xf numFmtId="2" fontId="76" fillId="0" borderId="22" xfId="0" applyNumberFormat="1" applyFont="1" applyBorder="1" applyAlignment="1">
      <alignment horizontal="left"/>
    </xf>
    <xf numFmtId="3" fontId="79" fillId="0" borderId="22" xfId="0" applyNumberFormat="1" applyFont="1" applyBorder="1" applyAlignment="1">
      <alignment horizontal="left"/>
    </xf>
    <xf numFmtId="3" fontId="79" fillId="0" borderId="13" xfId="0" applyNumberFormat="1" applyFont="1" applyBorder="1" applyAlignment="1">
      <alignment horizontal="left"/>
    </xf>
    <xf numFmtId="3" fontId="79" fillId="0" borderId="23" xfId="0" applyNumberFormat="1" applyFont="1" applyBorder="1" applyAlignment="1">
      <alignment horizontal="left"/>
    </xf>
    <xf numFmtId="2" fontId="76" fillId="0" borderId="24" xfId="0" applyNumberFormat="1" applyFont="1" applyFill="1" applyBorder="1" applyAlignment="1">
      <alignment horizontal="left"/>
    </xf>
    <xf numFmtId="2" fontId="76" fillId="0" borderId="13" xfId="0" applyNumberFormat="1" applyFont="1" applyFill="1" applyBorder="1" applyAlignment="1">
      <alignment horizontal="left"/>
    </xf>
    <xf numFmtId="2" fontId="76" fillId="0" borderId="23" xfId="0" applyNumberFormat="1" applyFont="1" applyFill="1" applyBorder="1" applyAlignment="1">
      <alignment horizontal="left"/>
    </xf>
    <xf numFmtId="2" fontId="76" fillId="0" borderId="24" xfId="42" applyNumberFormat="1" applyFont="1" applyBorder="1" applyAlignment="1">
      <alignment horizontal="left"/>
    </xf>
    <xf numFmtId="2" fontId="75" fillId="0" borderId="18" xfId="0" applyNumberFormat="1" applyFont="1" applyBorder="1" applyAlignment="1">
      <alignment horizontal="left" vertical="center"/>
    </xf>
    <xf numFmtId="2" fontId="75" fillId="0" borderId="16" xfId="0" applyNumberFormat="1" applyFont="1" applyBorder="1" applyAlignment="1">
      <alignment horizontal="left" vertical="center"/>
    </xf>
    <xf numFmtId="2" fontId="75" fillId="0" borderId="19" xfId="0" applyNumberFormat="1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75" fillId="0" borderId="16" xfId="0" applyFont="1" applyBorder="1" applyAlignment="1">
      <alignment horizontal="left" vertical="center"/>
    </xf>
    <xf numFmtId="0" fontId="75" fillId="0" borderId="19" xfId="0" applyFont="1" applyBorder="1" applyAlignment="1">
      <alignment horizontal="left" vertical="center"/>
    </xf>
    <xf numFmtId="2" fontId="75" fillId="0" borderId="15" xfId="0" applyNumberFormat="1" applyFont="1" applyBorder="1" applyAlignment="1">
      <alignment horizontal="left" wrapText="1"/>
    </xf>
    <xf numFmtId="2" fontId="84" fillId="0" borderId="15" xfId="0" applyNumberFormat="1" applyFont="1" applyBorder="1" applyAlignment="1">
      <alignment horizontal="left"/>
    </xf>
    <xf numFmtId="2" fontId="84" fillId="0" borderId="12" xfId="0" applyNumberFormat="1" applyFont="1" applyBorder="1" applyAlignment="1">
      <alignment horizontal="left"/>
    </xf>
    <xf numFmtId="2" fontId="75" fillId="0" borderId="15" xfId="42" applyNumberFormat="1" applyFont="1" applyBorder="1" applyAlignment="1">
      <alignment horizontal="left"/>
    </xf>
    <xf numFmtId="0" fontId="75" fillId="0" borderId="44" xfId="0" applyFont="1" applyBorder="1" applyAlignment="1">
      <alignment horizontal="left" vertical="center"/>
    </xf>
    <xf numFmtId="0" fontId="75" fillId="0" borderId="20" xfId="0" applyFont="1" applyBorder="1" applyAlignment="1">
      <alignment horizontal="left" vertical="center"/>
    </xf>
    <xf numFmtId="2" fontId="79" fillId="0" borderId="20" xfId="0" applyNumberFormat="1" applyFont="1" applyBorder="1" applyAlignment="1">
      <alignment horizontal="left"/>
    </xf>
    <xf numFmtId="2" fontId="79" fillId="0" borderId="16" xfId="0" applyNumberFormat="1" applyFont="1" applyBorder="1" applyAlignment="1">
      <alignment horizontal="left"/>
    </xf>
    <xf numFmtId="2" fontId="79" fillId="0" borderId="19" xfId="0" applyNumberFormat="1" applyFont="1" applyBorder="1" applyAlignment="1">
      <alignment horizontal="left"/>
    </xf>
    <xf numFmtId="2" fontId="75" fillId="0" borderId="48" xfId="0" applyNumberFormat="1" applyFont="1" applyBorder="1" applyAlignment="1">
      <alignment horizontal="left" vertical="center"/>
    </xf>
    <xf numFmtId="2" fontId="75" fillId="0" borderId="64" xfId="0" applyNumberFormat="1" applyFont="1" applyBorder="1" applyAlignment="1">
      <alignment horizontal="left" vertical="center"/>
    </xf>
    <xf numFmtId="2" fontId="76" fillId="0" borderId="67" xfId="0" applyNumberFormat="1" applyFont="1" applyBorder="1" applyAlignment="1">
      <alignment horizontal="left" vertical="center"/>
    </xf>
    <xf numFmtId="0" fontId="75" fillId="0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8" fillId="0" borderId="0" xfId="0" applyFont="1" applyBorder="1" applyAlignment="1">
      <alignment/>
    </xf>
    <xf numFmtId="0" fontId="75" fillId="0" borderId="0" xfId="0" applyFont="1" applyAlignment="1">
      <alignment horizontal="center"/>
    </xf>
    <xf numFmtId="2" fontId="75" fillId="0" borderId="63" xfId="0" applyNumberFormat="1" applyFont="1" applyBorder="1" applyAlignment="1">
      <alignment horizontal="center" vertical="center"/>
    </xf>
    <xf numFmtId="1" fontId="75" fillId="0" borderId="47" xfId="0" applyNumberFormat="1" applyFont="1" applyBorder="1" applyAlignment="1">
      <alignment horizontal="center" vertical="center"/>
    </xf>
    <xf numFmtId="2" fontId="75" fillId="0" borderId="65" xfId="0" applyNumberFormat="1" applyFont="1" applyBorder="1" applyAlignment="1">
      <alignment horizontal="left" vertical="center"/>
    </xf>
    <xf numFmtId="2" fontId="76" fillId="0" borderId="22" xfId="0" applyNumberFormat="1" applyFont="1" applyBorder="1" applyAlignment="1">
      <alignment horizontal="left" vertical="center"/>
    </xf>
    <xf numFmtId="0" fontId="84" fillId="0" borderId="55" xfId="0" applyFont="1" applyBorder="1" applyAlignment="1">
      <alignment horizontal="left"/>
    </xf>
    <xf numFmtId="0" fontId="84" fillId="0" borderId="27" xfId="0" applyFont="1" applyBorder="1" applyAlignment="1">
      <alignment horizontal="left"/>
    </xf>
    <xf numFmtId="0" fontId="84" fillId="0" borderId="62" xfId="0" applyFont="1" applyBorder="1" applyAlignment="1">
      <alignment horizontal="left"/>
    </xf>
    <xf numFmtId="0" fontId="75" fillId="0" borderId="69" xfId="0" applyFont="1" applyBorder="1" applyAlignment="1">
      <alignment horizontal="center" vertical="center"/>
    </xf>
    <xf numFmtId="2" fontId="76" fillId="0" borderId="28" xfId="0" applyNumberFormat="1" applyFont="1" applyBorder="1" applyAlignment="1">
      <alignment horizontal="center"/>
    </xf>
    <xf numFmtId="2" fontId="75" fillId="0" borderId="28" xfId="0" applyNumberFormat="1" applyFont="1" applyBorder="1" applyAlignment="1">
      <alignment horizontal="center"/>
    </xf>
    <xf numFmtId="2" fontId="76" fillId="0" borderId="70" xfId="0" applyNumberFormat="1" applyFont="1" applyBorder="1" applyAlignment="1">
      <alignment horizontal="center"/>
    </xf>
    <xf numFmtId="1" fontId="76" fillId="0" borderId="15" xfId="44" applyNumberFormat="1" applyFont="1" applyBorder="1" applyAlignment="1">
      <alignment horizontal="center"/>
    </xf>
    <xf numFmtId="1" fontId="76" fillId="0" borderId="11" xfId="42" applyNumberFormat="1" applyFont="1" applyBorder="1" applyAlignment="1">
      <alignment horizontal="center"/>
    </xf>
    <xf numFmtId="1" fontId="76" fillId="0" borderId="24" xfId="42" applyNumberFormat="1" applyFont="1" applyBorder="1" applyAlignment="1">
      <alignment horizontal="center"/>
    </xf>
    <xf numFmtId="1" fontId="75" fillId="0" borderId="71" xfId="0" applyNumberFormat="1" applyFont="1" applyBorder="1" applyAlignment="1">
      <alignment horizontal="center" vertical="center"/>
    </xf>
    <xf numFmtId="0" fontId="89" fillId="0" borderId="45" xfId="0" applyFont="1" applyBorder="1" applyAlignment="1">
      <alignment horizontal="left"/>
    </xf>
    <xf numFmtId="0" fontId="90" fillId="0" borderId="45" xfId="0" applyFont="1" applyBorder="1" applyAlignment="1">
      <alignment horizontal="left"/>
    </xf>
    <xf numFmtId="0" fontId="89" fillId="0" borderId="72" xfId="0" applyFont="1" applyBorder="1" applyAlignment="1">
      <alignment horizontal="left"/>
    </xf>
    <xf numFmtId="0" fontId="89" fillId="0" borderId="73" xfId="0" applyFont="1" applyBorder="1" applyAlignment="1">
      <alignment horizontal="left"/>
    </xf>
    <xf numFmtId="1" fontId="75" fillId="0" borderId="27" xfId="0" applyNumberFormat="1" applyFont="1" applyBorder="1" applyAlignment="1">
      <alignment horizontal="left" vertical="center"/>
    </xf>
    <xf numFmtId="1" fontId="75" fillId="0" borderId="29" xfId="0" applyNumberFormat="1" applyFont="1" applyBorder="1" applyAlignment="1">
      <alignment horizontal="left" vertical="center"/>
    </xf>
    <xf numFmtId="1" fontId="76" fillId="0" borderId="29" xfId="0" applyNumberFormat="1" applyFont="1" applyBorder="1" applyAlignment="1">
      <alignment horizontal="left" vertical="center"/>
    </xf>
    <xf numFmtId="1" fontId="76" fillId="0" borderId="17" xfId="0" applyNumberFormat="1" applyFont="1" applyBorder="1" applyAlignment="1">
      <alignment horizontal="left" vertical="center"/>
    </xf>
    <xf numFmtId="1" fontId="76" fillId="0" borderId="17" xfId="0" applyNumberFormat="1" applyFont="1" applyBorder="1" applyAlignment="1">
      <alignment horizontal="left"/>
    </xf>
    <xf numFmtId="2" fontId="76" fillId="0" borderId="11" xfId="0" applyNumberFormat="1" applyFont="1" applyBorder="1" applyAlignment="1">
      <alignment horizontal="left" vertical="center"/>
    </xf>
    <xf numFmtId="2" fontId="76" fillId="0" borderId="29" xfId="0" applyNumberFormat="1" applyFont="1" applyBorder="1" applyAlignment="1">
      <alignment horizontal="left" vertical="center"/>
    </xf>
    <xf numFmtId="1" fontId="75" fillId="0" borderId="24" xfId="0" applyNumberFormat="1" applyFont="1" applyBorder="1" applyAlignment="1">
      <alignment horizontal="left" vertical="center"/>
    </xf>
    <xf numFmtId="1" fontId="75" fillId="0" borderId="67" xfId="0" applyNumberFormat="1" applyFont="1" applyBorder="1" applyAlignment="1">
      <alignment horizontal="left" vertical="center"/>
    </xf>
    <xf numFmtId="1" fontId="75" fillId="0" borderId="70" xfId="0" applyNumberFormat="1" applyFont="1" applyBorder="1" applyAlignment="1">
      <alignment horizontal="left" vertical="center"/>
    </xf>
    <xf numFmtId="1" fontId="75" fillId="0" borderId="66" xfId="0" applyNumberFormat="1" applyFont="1" applyBorder="1" applyAlignment="1">
      <alignment horizontal="left" vertical="center"/>
    </xf>
    <xf numFmtId="1" fontId="76" fillId="0" borderId="29" xfId="0" applyNumberFormat="1" applyFont="1" applyBorder="1" applyAlignment="1">
      <alignment horizontal="left"/>
    </xf>
    <xf numFmtId="165" fontId="76" fillId="0" borderId="15" xfId="44" applyNumberFormat="1" applyFont="1" applyBorder="1" applyAlignment="1">
      <alignment horizontal="left"/>
    </xf>
    <xf numFmtId="165" fontId="76" fillId="0" borderId="10" xfId="44" applyNumberFormat="1" applyFont="1" applyBorder="1" applyAlignment="1">
      <alignment horizontal="left"/>
    </xf>
    <xf numFmtId="1" fontId="76" fillId="0" borderId="22" xfId="44" applyNumberFormat="1" applyFont="1" applyBorder="1" applyAlignment="1">
      <alignment horizontal="left"/>
    </xf>
    <xf numFmtId="1" fontId="76" fillId="0" borderId="13" xfId="44" applyNumberFormat="1" applyFont="1" applyBorder="1" applyAlignment="1">
      <alignment horizontal="left"/>
    </xf>
    <xf numFmtId="1" fontId="76" fillId="0" borderId="23" xfId="44" applyNumberFormat="1" applyFont="1" applyBorder="1" applyAlignment="1">
      <alignment horizontal="left"/>
    </xf>
    <xf numFmtId="1" fontId="76" fillId="0" borderId="22" xfId="0" applyNumberFormat="1" applyFont="1" applyBorder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79" fillId="0" borderId="55" xfId="0" applyNumberFormat="1" applyFont="1" applyFill="1" applyBorder="1" applyAlignment="1">
      <alignment horizontal="left" vertical="center" wrapText="1"/>
    </xf>
    <xf numFmtId="2" fontId="76" fillId="0" borderId="74" xfId="0" applyNumberFormat="1" applyFont="1" applyBorder="1" applyAlignment="1">
      <alignment horizontal="left"/>
    </xf>
    <xf numFmtId="2" fontId="76" fillId="0" borderId="75" xfId="0" applyNumberFormat="1" applyFont="1" applyBorder="1" applyAlignment="1">
      <alignment horizontal="left"/>
    </xf>
    <xf numFmtId="2" fontId="76" fillId="0" borderId="76" xfId="0" applyNumberFormat="1" applyFont="1" applyBorder="1" applyAlignment="1">
      <alignment horizontal="left"/>
    </xf>
    <xf numFmtId="2" fontId="76" fillId="0" borderId="65" xfId="0" applyNumberFormat="1" applyFont="1" applyBorder="1" applyAlignment="1">
      <alignment horizontal="left"/>
    </xf>
    <xf numFmtId="2" fontId="76" fillId="0" borderId="65" xfId="44" applyNumberFormat="1" applyFont="1" applyBorder="1" applyAlignment="1">
      <alignment horizontal="left"/>
    </xf>
    <xf numFmtId="2" fontId="76" fillId="0" borderId="48" xfId="44" applyNumberFormat="1" applyFont="1" applyBorder="1" applyAlignment="1">
      <alignment horizontal="left"/>
    </xf>
    <xf numFmtId="2" fontId="76" fillId="0" borderId="49" xfId="44" applyNumberFormat="1" applyFont="1" applyBorder="1" applyAlignment="1">
      <alignment horizontal="left"/>
    </xf>
    <xf numFmtId="2" fontId="76" fillId="0" borderId="65" xfId="0" applyNumberFormat="1" applyFont="1" applyBorder="1" applyAlignment="1">
      <alignment horizontal="left" wrapText="1"/>
    </xf>
    <xf numFmtId="2" fontId="76" fillId="0" borderId="47" xfId="0" applyNumberFormat="1" applyFont="1" applyFill="1" applyBorder="1" applyAlignment="1">
      <alignment horizontal="left" vertical="center" wrapText="1"/>
    </xf>
    <xf numFmtId="2" fontId="76" fillId="0" borderId="48" xfId="0" applyNumberFormat="1" applyFont="1" applyFill="1" applyBorder="1" applyAlignment="1">
      <alignment horizontal="left" vertical="center" wrapText="1"/>
    </xf>
    <xf numFmtId="2" fontId="76" fillId="0" borderId="49" xfId="0" applyNumberFormat="1" applyFont="1" applyFill="1" applyBorder="1" applyAlignment="1">
      <alignment horizontal="left" vertical="center" wrapText="1"/>
    </xf>
    <xf numFmtId="2" fontId="76" fillId="0" borderId="65" xfId="0" applyNumberFormat="1" applyFont="1" applyFill="1" applyBorder="1" applyAlignment="1">
      <alignment horizontal="left"/>
    </xf>
    <xf numFmtId="2" fontId="76" fillId="0" borderId="48" xfId="0" applyNumberFormat="1" applyFont="1" applyFill="1" applyBorder="1" applyAlignment="1">
      <alignment horizontal="left"/>
    </xf>
    <xf numFmtId="2" fontId="76" fillId="0" borderId="49" xfId="0" applyNumberFormat="1" applyFont="1" applyFill="1" applyBorder="1" applyAlignment="1">
      <alignment horizontal="left"/>
    </xf>
    <xf numFmtId="2" fontId="76" fillId="0" borderId="65" xfId="42" applyNumberFormat="1" applyFont="1" applyBorder="1" applyAlignment="1">
      <alignment horizontal="left"/>
    </xf>
    <xf numFmtId="2" fontId="76" fillId="0" borderId="48" xfId="42" applyNumberFormat="1" applyFont="1" applyBorder="1" applyAlignment="1">
      <alignment horizontal="left"/>
    </xf>
    <xf numFmtId="2" fontId="76" fillId="0" borderId="49" xfId="42" applyNumberFormat="1" applyFont="1" applyBorder="1" applyAlignment="1">
      <alignment horizontal="left"/>
    </xf>
    <xf numFmtId="2" fontId="75" fillId="0" borderId="65" xfId="0" applyNumberFormat="1" applyFont="1" applyBorder="1" applyAlignment="1">
      <alignment horizontal="left"/>
    </xf>
    <xf numFmtId="2" fontId="75" fillId="0" borderId="49" xfId="0" applyNumberFormat="1" applyFont="1" applyBorder="1" applyAlignment="1">
      <alignment horizontal="left"/>
    </xf>
    <xf numFmtId="2" fontId="76" fillId="0" borderId="47" xfId="0" applyNumberFormat="1" applyFont="1" applyBorder="1" applyAlignment="1">
      <alignment horizontal="left"/>
    </xf>
    <xf numFmtId="2" fontId="75" fillId="0" borderId="27" xfId="0" applyNumberFormat="1" applyFont="1" applyFill="1" applyBorder="1" applyAlignment="1">
      <alignment horizontal="left"/>
    </xf>
    <xf numFmtId="2" fontId="77" fillId="0" borderId="11" xfId="0" applyNumberFormat="1" applyFont="1" applyBorder="1" applyAlignment="1">
      <alignment horizontal="left" vertical="center"/>
    </xf>
    <xf numFmtId="2" fontId="77" fillId="0" borderId="15" xfId="0" applyNumberFormat="1" applyFont="1" applyBorder="1" applyAlignment="1">
      <alignment horizontal="left"/>
    </xf>
    <xf numFmtId="0" fontId="75" fillId="0" borderId="11" xfId="0" applyFont="1" applyBorder="1" applyAlignment="1">
      <alignment horizontal="left"/>
    </xf>
    <xf numFmtId="0" fontId="75" fillId="0" borderId="18" xfId="0" applyFont="1" applyBorder="1" applyAlignment="1">
      <alignment horizontal="left"/>
    </xf>
    <xf numFmtId="2" fontId="77" fillId="0" borderId="14" xfId="0" applyNumberFormat="1" applyFont="1" applyBorder="1" applyAlignment="1">
      <alignment horizontal="left"/>
    </xf>
    <xf numFmtId="0" fontId="79" fillId="0" borderId="26" xfId="0" applyFont="1" applyBorder="1" applyAlignment="1">
      <alignment horizontal="left"/>
    </xf>
    <xf numFmtId="1" fontId="75" fillId="0" borderId="18" xfId="0" applyNumberFormat="1" applyFont="1" applyBorder="1" applyAlignment="1">
      <alignment horizontal="left"/>
    </xf>
    <xf numFmtId="1" fontId="76" fillId="0" borderId="18" xfId="42" applyNumberFormat="1" applyFont="1" applyBorder="1" applyAlignment="1">
      <alignment horizontal="left"/>
    </xf>
    <xf numFmtId="1" fontId="76" fillId="0" borderId="29" xfId="42" applyNumberFormat="1" applyFont="1" applyBorder="1" applyAlignment="1">
      <alignment horizontal="left"/>
    </xf>
    <xf numFmtId="164" fontId="79" fillId="0" borderId="12" xfId="0" applyNumberFormat="1" applyFont="1" applyBorder="1" applyAlignment="1">
      <alignment horizontal="left"/>
    </xf>
    <xf numFmtId="3" fontId="79" fillId="0" borderId="48" xfId="0" applyNumberFormat="1" applyFont="1" applyBorder="1" applyAlignment="1">
      <alignment horizontal="left"/>
    </xf>
    <xf numFmtId="3" fontId="79" fillId="0" borderId="49" xfId="0" applyNumberFormat="1" applyFont="1" applyBorder="1" applyAlignment="1">
      <alignment horizontal="left"/>
    </xf>
    <xf numFmtId="164" fontId="79" fillId="0" borderId="10" xfId="0" applyNumberFormat="1" applyFont="1" applyBorder="1" applyAlignment="1">
      <alignment horizontal="left"/>
    </xf>
    <xf numFmtId="1" fontId="76" fillId="0" borderId="44" xfId="0" applyNumberFormat="1" applyFont="1" applyBorder="1" applyAlignment="1">
      <alignment horizontal="left"/>
    </xf>
    <xf numFmtId="3" fontId="79" fillId="0" borderId="65" xfId="0" applyNumberFormat="1" applyFont="1" applyBorder="1" applyAlignment="1">
      <alignment horizontal="left"/>
    </xf>
    <xf numFmtId="164" fontId="79" fillId="0" borderId="15" xfId="0" applyNumberFormat="1" applyFont="1" applyBorder="1" applyAlignment="1">
      <alignment horizontal="left"/>
    </xf>
    <xf numFmtId="2" fontId="76" fillId="0" borderId="47" xfId="0" applyNumberFormat="1" applyFont="1" applyBorder="1" applyAlignment="1">
      <alignment horizontal="left" wrapText="1"/>
    </xf>
    <xf numFmtId="2" fontId="76" fillId="0" borderId="11" xfId="0" applyNumberFormat="1" applyFont="1" applyBorder="1" applyAlignment="1">
      <alignment horizontal="left" wrapText="1"/>
    </xf>
    <xf numFmtId="1" fontId="84" fillId="0" borderId="26" xfId="0" applyNumberFormat="1" applyFont="1" applyBorder="1" applyAlignment="1">
      <alignment horizontal="left"/>
    </xf>
    <xf numFmtId="1" fontId="75" fillId="0" borderId="63" xfId="0" applyNumberFormat="1" applyFont="1" applyFill="1" applyBorder="1" applyAlignment="1">
      <alignment vertical="center" wrapText="1"/>
    </xf>
    <xf numFmtId="0" fontId="75" fillId="0" borderId="76" xfId="0" applyFont="1" applyBorder="1" applyAlignment="1">
      <alignment vertical="center" wrapText="1"/>
    </xf>
    <xf numFmtId="1" fontId="75" fillId="0" borderId="55" xfId="0" applyNumberFormat="1" applyFont="1" applyBorder="1" applyAlignment="1">
      <alignment vertical="center" wrapText="1"/>
    </xf>
    <xf numFmtId="1" fontId="76" fillId="0" borderId="43" xfId="0" applyNumberFormat="1" applyFont="1" applyBorder="1" applyAlignment="1">
      <alignment horizontal="left"/>
    </xf>
    <xf numFmtId="1" fontId="76" fillId="0" borderId="27" xfId="0" applyNumberFormat="1" applyFont="1" applyBorder="1" applyAlignment="1">
      <alignment horizontal="left"/>
    </xf>
    <xf numFmtId="1" fontId="75" fillId="0" borderId="27" xfId="0" applyNumberFormat="1" applyFont="1" applyBorder="1" applyAlignment="1">
      <alignment horizontal="left"/>
    </xf>
    <xf numFmtId="1" fontId="76" fillId="0" borderId="42" xfId="0" applyNumberFormat="1" applyFont="1" applyBorder="1" applyAlignment="1">
      <alignment horizontal="left"/>
    </xf>
    <xf numFmtId="1" fontId="75" fillId="0" borderId="29" xfId="0" applyNumberFormat="1" applyFont="1" applyBorder="1" applyAlignment="1">
      <alignment horizontal="left"/>
    </xf>
    <xf numFmtId="1" fontId="75" fillId="0" borderId="36" xfId="0" applyNumberFormat="1" applyFont="1" applyBorder="1" applyAlignment="1">
      <alignment horizontal="left"/>
    </xf>
    <xf numFmtId="1" fontId="76" fillId="0" borderId="21" xfId="42" applyNumberFormat="1" applyFont="1" applyBorder="1" applyAlignment="1">
      <alignment horizontal="left"/>
    </xf>
    <xf numFmtId="1" fontId="76" fillId="0" borderId="36" xfId="42" applyNumberFormat="1" applyFont="1" applyBorder="1" applyAlignment="1">
      <alignment horizontal="left"/>
    </xf>
    <xf numFmtId="1" fontId="76" fillId="0" borderId="43" xfId="42" applyNumberFormat="1" applyFont="1" applyBorder="1" applyAlignment="1">
      <alignment horizontal="left"/>
    </xf>
    <xf numFmtId="1" fontId="76" fillId="0" borderId="42" xfId="42" applyNumberFormat="1" applyFont="1" applyBorder="1" applyAlignment="1">
      <alignment horizontal="left"/>
    </xf>
    <xf numFmtId="1" fontId="75" fillId="0" borderId="71" xfId="0" applyNumberFormat="1" applyFont="1" applyBorder="1" applyAlignment="1">
      <alignment vertical="center" wrapText="1"/>
    </xf>
    <xf numFmtId="1" fontId="76" fillId="0" borderId="73" xfId="0" applyNumberFormat="1" applyFont="1" applyFill="1" applyBorder="1" applyAlignment="1">
      <alignment horizontal="left"/>
    </xf>
    <xf numFmtId="1" fontId="76" fillId="0" borderId="45" xfId="0" applyNumberFormat="1" applyFont="1" applyFill="1" applyBorder="1" applyAlignment="1">
      <alignment horizontal="left"/>
    </xf>
    <xf numFmtId="1" fontId="76" fillId="0" borderId="45" xfId="0" applyNumberFormat="1" applyFont="1" applyBorder="1" applyAlignment="1">
      <alignment horizontal="left"/>
    </xf>
    <xf numFmtId="1" fontId="76" fillId="0" borderId="46" xfId="0" applyNumberFormat="1" applyFont="1" applyFill="1" applyBorder="1" applyAlignment="1">
      <alignment horizontal="left"/>
    </xf>
    <xf numFmtId="1" fontId="79" fillId="0" borderId="17" xfId="0" applyNumberFormat="1" applyFont="1" applyBorder="1" applyAlignment="1">
      <alignment horizontal="left"/>
    </xf>
    <xf numFmtId="1" fontId="75" fillId="0" borderId="71" xfId="0" applyNumberFormat="1" applyFont="1" applyFill="1" applyBorder="1" applyAlignment="1">
      <alignment vertical="center" wrapText="1"/>
    </xf>
    <xf numFmtId="1" fontId="76" fillId="0" borderId="73" xfId="0" applyNumberFormat="1" applyFont="1" applyBorder="1" applyAlignment="1">
      <alignment horizontal="left" wrapText="1"/>
    </xf>
    <xf numFmtId="1" fontId="76" fillId="0" borderId="45" xfId="0" applyNumberFormat="1" applyFont="1" applyBorder="1" applyAlignment="1">
      <alignment horizontal="left" wrapText="1"/>
    </xf>
    <xf numFmtId="1" fontId="76" fillId="0" borderId="46" xfId="0" applyNumberFormat="1" applyFont="1" applyBorder="1" applyAlignment="1">
      <alignment horizontal="left" wrapText="1"/>
    </xf>
    <xf numFmtId="1" fontId="76" fillId="0" borderId="73" xfId="0" applyNumberFormat="1" applyFont="1" applyBorder="1" applyAlignment="1">
      <alignment horizontal="left"/>
    </xf>
    <xf numFmtId="1" fontId="75" fillId="0" borderId="45" xfId="0" applyNumberFormat="1" applyFont="1" applyBorder="1" applyAlignment="1">
      <alignment horizontal="left"/>
    </xf>
    <xf numFmtId="1" fontId="76" fillId="0" borderId="46" xfId="0" applyNumberFormat="1" applyFont="1" applyBorder="1" applyAlignment="1">
      <alignment horizontal="left"/>
    </xf>
    <xf numFmtId="1" fontId="3" fillId="0" borderId="45" xfId="0" applyNumberFormat="1" applyFont="1" applyBorder="1" applyAlignment="1">
      <alignment horizontal="left"/>
    </xf>
    <xf numFmtId="1" fontId="76" fillId="0" borderId="73" xfId="44" applyNumberFormat="1" applyFont="1" applyBorder="1" applyAlignment="1">
      <alignment horizontal="left"/>
    </xf>
    <xf numFmtId="1" fontId="76" fillId="0" borderId="45" xfId="44" applyNumberFormat="1" applyFont="1" applyBorder="1" applyAlignment="1">
      <alignment horizontal="left"/>
    </xf>
    <xf numFmtId="1" fontId="76" fillId="0" borderId="46" xfId="44" applyNumberFormat="1" applyFont="1" applyBorder="1" applyAlignment="1">
      <alignment horizontal="left"/>
    </xf>
    <xf numFmtId="1" fontId="75" fillId="0" borderId="71" xfId="0" applyNumberFormat="1" applyFont="1" applyBorder="1" applyAlignment="1">
      <alignment vertical="justify" wrapText="1"/>
    </xf>
    <xf numFmtId="1" fontId="76" fillId="0" borderId="73" xfId="0" applyNumberFormat="1" applyFont="1" applyBorder="1" applyAlignment="1">
      <alignment horizontal="left" vertical="center"/>
    </xf>
    <xf numFmtId="1" fontId="76" fillId="0" borderId="45" xfId="0" applyNumberFormat="1" applyFont="1" applyBorder="1" applyAlignment="1">
      <alignment horizontal="left" vertical="center"/>
    </xf>
    <xf numFmtId="1" fontId="75" fillId="0" borderId="45" xfId="0" applyNumberFormat="1" applyFont="1" applyBorder="1" applyAlignment="1">
      <alignment horizontal="left" vertical="center"/>
    </xf>
    <xf numFmtId="1" fontId="76" fillId="0" borderId="46" xfId="0" applyNumberFormat="1" applyFont="1" applyBorder="1" applyAlignment="1">
      <alignment horizontal="left" vertical="center"/>
    </xf>
    <xf numFmtId="0" fontId="75" fillId="0" borderId="61" xfId="0" applyFont="1" applyFill="1" applyBorder="1" applyAlignment="1">
      <alignment vertical="center" wrapText="1"/>
    </xf>
    <xf numFmtId="1" fontId="75" fillId="0" borderId="43" xfId="0" applyNumberFormat="1" applyFont="1" applyBorder="1" applyAlignment="1">
      <alignment horizontal="left"/>
    </xf>
    <xf numFmtId="1" fontId="75" fillId="0" borderId="42" xfId="0" applyNumberFormat="1" applyFont="1" applyBorder="1" applyAlignment="1">
      <alignment horizontal="left"/>
    </xf>
    <xf numFmtId="2" fontId="75" fillId="0" borderId="77" xfId="0" applyNumberFormat="1" applyFont="1" applyBorder="1" applyAlignment="1">
      <alignment horizontal="left" vertical="center"/>
    </xf>
    <xf numFmtId="2" fontId="75" fillId="0" borderId="51" xfId="0" applyNumberFormat="1" applyFont="1" applyBorder="1" applyAlignment="1">
      <alignment horizontal="left" vertical="center"/>
    </xf>
    <xf numFmtId="2" fontId="75" fillId="0" borderId="78" xfId="0" applyNumberFormat="1" applyFont="1" applyBorder="1" applyAlignment="1">
      <alignment horizontal="left" vertical="center"/>
    </xf>
    <xf numFmtId="2" fontId="75" fillId="0" borderId="49" xfId="0" applyNumberFormat="1" applyFont="1" applyBorder="1" applyAlignment="1">
      <alignment horizontal="left" vertical="center"/>
    </xf>
    <xf numFmtId="0" fontId="75" fillId="0" borderId="23" xfId="0" applyFont="1" applyBorder="1" applyAlignment="1">
      <alignment horizontal="left" vertical="center"/>
    </xf>
    <xf numFmtId="1" fontId="75" fillId="0" borderId="49" xfId="0" applyNumberFormat="1" applyFont="1" applyBorder="1" applyAlignment="1">
      <alignment horizontal="center" vertical="justify" wrapText="1"/>
    </xf>
    <xf numFmtId="2" fontId="85" fillId="0" borderId="15" xfId="0" applyNumberFormat="1" applyFont="1" applyBorder="1" applyAlignment="1">
      <alignment horizontal="left" vertical="center"/>
    </xf>
    <xf numFmtId="1" fontId="82" fillId="0" borderId="34" xfId="42" applyNumberFormat="1" applyFont="1" applyBorder="1" applyAlignment="1">
      <alignment horizontal="left"/>
    </xf>
    <xf numFmtId="1" fontId="82" fillId="0" borderId="14" xfId="44" applyNumberFormat="1" applyFont="1" applyBorder="1" applyAlignment="1">
      <alignment horizontal="left"/>
    </xf>
    <xf numFmtId="1" fontId="82" fillId="0" borderId="14" xfId="0" applyNumberFormat="1" applyFont="1" applyBorder="1" applyAlignment="1">
      <alignment horizontal="left"/>
    </xf>
    <xf numFmtId="1" fontId="82" fillId="0" borderId="34" xfId="44" applyNumberFormat="1" applyFont="1" applyBorder="1" applyAlignment="1">
      <alignment horizontal="left"/>
    </xf>
    <xf numFmtId="1" fontId="83" fillId="0" borderId="14" xfId="0" applyNumberFormat="1" applyFont="1" applyBorder="1" applyAlignment="1">
      <alignment horizontal="left"/>
    </xf>
    <xf numFmtId="1" fontId="82" fillId="0" borderId="34" xfId="0" applyNumberFormat="1" applyFont="1" applyBorder="1" applyAlignment="1">
      <alignment horizontal="left"/>
    </xf>
    <xf numFmtId="1" fontId="82" fillId="0" borderId="11" xfId="44" applyNumberFormat="1" applyFont="1" applyBorder="1" applyAlignment="1">
      <alignment horizontal="left"/>
    </xf>
    <xf numFmtId="1" fontId="82" fillId="0" borderId="30" xfId="44" applyNumberFormat="1" applyFont="1" applyBorder="1" applyAlignment="1">
      <alignment horizontal="left"/>
    </xf>
    <xf numFmtId="1" fontId="82" fillId="0" borderId="15" xfId="0" applyNumberFormat="1" applyFont="1" applyFill="1" applyBorder="1" applyAlignment="1">
      <alignment horizontal="left"/>
    </xf>
    <xf numFmtId="1" fontId="82" fillId="0" borderId="33" xfId="0" applyNumberFormat="1" applyFont="1" applyFill="1" applyBorder="1" applyAlignment="1">
      <alignment horizontal="left"/>
    </xf>
    <xf numFmtId="1" fontId="75" fillId="0" borderId="49" xfId="0" applyNumberFormat="1" applyFont="1" applyBorder="1" applyAlignment="1">
      <alignment horizontal="center" vertical="justify" wrapText="1"/>
    </xf>
    <xf numFmtId="0" fontId="75" fillId="0" borderId="12" xfId="0" applyFont="1" applyBorder="1" applyAlignment="1">
      <alignment horizontal="left"/>
    </xf>
    <xf numFmtId="0" fontId="75" fillId="0" borderId="10" xfId="0" applyFont="1" applyBorder="1" applyAlignment="1">
      <alignment horizontal="left"/>
    </xf>
    <xf numFmtId="0" fontId="75" fillId="0" borderId="16" xfId="0" applyFont="1" applyBorder="1" applyAlignment="1">
      <alignment horizontal="left"/>
    </xf>
    <xf numFmtId="0" fontId="75" fillId="0" borderId="19" xfId="0" applyFont="1" applyBorder="1" applyAlignment="1">
      <alignment horizontal="left"/>
    </xf>
    <xf numFmtId="1" fontId="75" fillId="0" borderId="63" xfId="0" applyNumberFormat="1" applyFont="1" applyBorder="1" applyAlignment="1">
      <alignment horizontal="center" vertical="justify" wrapText="1"/>
    </xf>
    <xf numFmtId="1" fontId="75" fillId="0" borderId="29" xfId="0" applyNumberFormat="1" applyFont="1" applyBorder="1" applyAlignment="1">
      <alignment horizontal="center" vertical="justify" wrapText="1"/>
    </xf>
    <xf numFmtId="1" fontId="75" fillId="0" borderId="66" xfId="0" applyNumberFormat="1" applyFont="1" applyBorder="1" applyAlignment="1">
      <alignment horizontal="center" vertical="justify" wrapText="1"/>
    </xf>
    <xf numFmtId="1" fontId="76" fillId="0" borderId="12" xfId="0" applyNumberFormat="1" applyFont="1" applyFill="1" applyBorder="1" applyAlignment="1">
      <alignment horizontal="center" vertical="justify" wrapText="1"/>
    </xf>
    <xf numFmtId="1" fontId="76" fillId="0" borderId="10" xfId="0" applyNumberFormat="1" applyFont="1" applyBorder="1" applyAlignment="1">
      <alignment horizontal="center" vertical="justify" wrapText="1"/>
    </xf>
    <xf numFmtId="1" fontId="75" fillId="0" borderId="10" xfId="0" applyNumberFormat="1" applyFont="1" applyBorder="1" applyAlignment="1">
      <alignment horizontal="center" vertical="justify" wrapText="1"/>
    </xf>
    <xf numFmtId="1" fontId="76" fillId="0" borderId="23" xfId="0" applyNumberFormat="1" applyFont="1" applyBorder="1" applyAlignment="1">
      <alignment horizontal="center" vertical="justify" wrapText="1"/>
    </xf>
    <xf numFmtId="0" fontId="76" fillId="0" borderId="75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1" fontId="82" fillId="0" borderId="16" xfId="0" applyNumberFormat="1" applyFont="1" applyBorder="1" applyAlignment="1">
      <alignment horizontal="left" vertical="center"/>
    </xf>
    <xf numFmtId="1" fontId="82" fillId="0" borderId="19" xfId="0" applyNumberFormat="1" applyFont="1" applyBorder="1" applyAlignment="1">
      <alignment horizontal="left" vertical="center"/>
    </xf>
    <xf numFmtId="1" fontId="82" fillId="0" borderId="13" xfId="0" applyNumberFormat="1" applyFont="1" applyBorder="1" applyAlignment="1">
      <alignment horizontal="left" vertical="center"/>
    </xf>
    <xf numFmtId="1" fontId="82" fillId="0" borderId="23" xfId="0" applyNumberFormat="1" applyFont="1" applyBorder="1" applyAlignment="1">
      <alignment horizontal="left" vertical="center"/>
    </xf>
    <xf numFmtId="0" fontId="81" fillId="0" borderId="17" xfId="0" applyFont="1" applyBorder="1" applyAlignment="1">
      <alignment horizontal="left"/>
    </xf>
    <xf numFmtId="2" fontId="76" fillId="0" borderId="20" xfId="0" applyNumberFormat="1" applyFont="1" applyBorder="1" applyAlignment="1">
      <alignment horizontal="left" vertical="center"/>
    </xf>
    <xf numFmtId="2" fontId="76" fillId="0" borderId="16" xfId="0" applyNumberFormat="1" applyFont="1" applyBorder="1" applyAlignment="1">
      <alignment horizontal="left" vertical="center"/>
    </xf>
    <xf numFmtId="2" fontId="76" fillId="0" borderId="44" xfId="0" applyNumberFormat="1" applyFont="1" applyBorder="1" applyAlignment="1">
      <alignment horizontal="left" vertical="center"/>
    </xf>
    <xf numFmtId="2" fontId="82" fillId="0" borderId="18" xfId="0" applyNumberFormat="1" applyFont="1" applyBorder="1" applyAlignment="1">
      <alignment horizontal="left"/>
    </xf>
    <xf numFmtId="2" fontId="82" fillId="0" borderId="16" xfId="0" applyNumberFormat="1" applyFont="1" applyBorder="1" applyAlignment="1">
      <alignment horizontal="left"/>
    </xf>
    <xf numFmtId="2" fontId="82" fillId="0" borderId="44" xfId="0" applyNumberFormat="1" applyFont="1" applyBorder="1" applyAlignment="1">
      <alignment horizontal="left"/>
    </xf>
    <xf numFmtId="2" fontId="82" fillId="0" borderId="19" xfId="0" applyNumberFormat="1" applyFont="1" applyBorder="1" applyAlignment="1">
      <alignment horizontal="left"/>
    </xf>
    <xf numFmtId="2" fontId="82" fillId="0" borderId="20" xfId="0" applyNumberFormat="1" applyFont="1" applyBorder="1" applyAlignment="1">
      <alignment horizontal="left"/>
    </xf>
    <xf numFmtId="2" fontId="76" fillId="0" borderId="18" xfId="0" applyNumberFormat="1" applyFont="1" applyBorder="1" applyAlignment="1">
      <alignment horizontal="left"/>
    </xf>
    <xf numFmtId="0" fontId="76" fillId="0" borderId="16" xfId="0" applyFont="1" applyBorder="1" applyAlignment="1">
      <alignment horizontal="left"/>
    </xf>
    <xf numFmtId="0" fontId="76" fillId="0" borderId="19" xfId="0" applyFont="1" applyBorder="1" applyAlignment="1">
      <alignment horizontal="left"/>
    </xf>
    <xf numFmtId="2" fontId="76" fillId="0" borderId="16" xfId="44" applyNumberFormat="1" applyFont="1" applyBorder="1" applyAlignment="1">
      <alignment horizontal="left"/>
    </xf>
    <xf numFmtId="2" fontId="76" fillId="0" borderId="19" xfId="44" applyNumberFormat="1" applyFont="1" applyBorder="1" applyAlignment="1">
      <alignment horizontal="left"/>
    </xf>
    <xf numFmtId="164" fontId="78" fillId="0" borderId="20" xfId="0" applyNumberFormat="1" applyFont="1" applyBorder="1" applyAlignment="1">
      <alignment horizontal="left"/>
    </xf>
    <xf numFmtId="164" fontId="78" fillId="0" borderId="16" xfId="0" applyNumberFormat="1" applyFont="1" applyBorder="1" applyAlignment="1">
      <alignment horizontal="left"/>
    </xf>
    <xf numFmtId="2" fontId="82" fillId="0" borderId="18" xfId="0" applyNumberFormat="1" applyFont="1" applyFill="1" applyBorder="1" applyAlignment="1">
      <alignment horizontal="left"/>
    </xf>
    <xf numFmtId="2" fontId="82" fillId="0" borderId="16" xfId="0" applyNumberFormat="1" applyFont="1" applyFill="1" applyBorder="1" applyAlignment="1">
      <alignment horizontal="left"/>
    </xf>
    <xf numFmtId="2" fontId="82" fillId="0" borderId="19" xfId="0" applyNumberFormat="1" applyFont="1" applyFill="1" applyBorder="1" applyAlignment="1">
      <alignment horizontal="left"/>
    </xf>
    <xf numFmtId="2" fontId="82" fillId="0" borderId="20" xfId="42" applyNumberFormat="1" applyFont="1" applyBorder="1" applyAlignment="1">
      <alignment horizontal="left"/>
    </xf>
    <xf numFmtId="2" fontId="82" fillId="0" borderId="16" xfId="42" applyNumberFormat="1" applyFont="1" applyBorder="1" applyAlignment="1">
      <alignment horizontal="left"/>
    </xf>
    <xf numFmtId="2" fontId="82" fillId="0" borderId="19" xfId="42" applyNumberFormat="1" applyFont="1" applyBorder="1" applyAlignment="1">
      <alignment horizontal="left"/>
    </xf>
    <xf numFmtId="2" fontId="83" fillId="0" borderId="20" xfId="0" applyNumberFormat="1" applyFont="1" applyBorder="1" applyAlignment="1">
      <alignment horizontal="left"/>
    </xf>
    <xf numFmtId="2" fontId="82" fillId="0" borderId="18" xfId="42" applyNumberFormat="1" applyFont="1" applyBorder="1" applyAlignment="1">
      <alignment horizontal="left"/>
    </xf>
    <xf numFmtId="2" fontId="83" fillId="0" borderId="18" xfId="0" applyNumberFormat="1" applyFont="1" applyBorder="1" applyAlignment="1">
      <alignment horizontal="left"/>
    </xf>
    <xf numFmtId="2" fontId="83" fillId="0" borderId="43" xfId="0" applyNumberFormat="1" applyFont="1" applyBorder="1" applyAlignment="1">
      <alignment horizontal="left"/>
    </xf>
    <xf numFmtId="0" fontId="86" fillId="0" borderId="56" xfId="0" applyFont="1" applyBorder="1" applyAlignment="1">
      <alignment horizontal="left"/>
    </xf>
    <xf numFmtId="0" fontId="86" fillId="0" borderId="50" xfId="0" applyFont="1" applyBorder="1" applyAlignment="1">
      <alignment horizontal="left"/>
    </xf>
    <xf numFmtId="0" fontId="86" fillId="0" borderId="51" xfId="0" applyFont="1" applyBorder="1" applyAlignment="1">
      <alignment horizontal="left"/>
    </xf>
    <xf numFmtId="0" fontId="86" fillId="0" borderId="78" xfId="0" applyFont="1" applyBorder="1" applyAlignment="1">
      <alignment horizontal="left"/>
    </xf>
    <xf numFmtId="1" fontId="85" fillId="0" borderId="77" xfId="0" applyNumberFormat="1" applyFont="1" applyBorder="1" applyAlignment="1">
      <alignment horizontal="left"/>
    </xf>
    <xf numFmtId="1" fontId="85" fillId="0" borderId="50" xfId="0" applyNumberFormat="1" applyFont="1" applyBorder="1" applyAlignment="1">
      <alignment horizontal="left"/>
    </xf>
    <xf numFmtId="1" fontId="85" fillId="0" borderId="0" xfId="0" applyNumberFormat="1" applyFont="1" applyBorder="1" applyAlignment="1">
      <alignment horizontal="left"/>
    </xf>
    <xf numFmtId="1" fontId="85" fillId="0" borderId="25" xfId="0" applyNumberFormat="1" applyFont="1" applyBorder="1" applyAlignment="1">
      <alignment horizontal="left"/>
    </xf>
    <xf numFmtId="1" fontId="86" fillId="0" borderId="32" xfId="42" applyNumberFormat="1" applyFont="1" applyBorder="1" applyAlignment="1">
      <alignment horizontal="left"/>
    </xf>
    <xf numFmtId="0" fontId="87" fillId="0" borderId="55" xfId="0" applyFont="1" applyBorder="1" applyAlignment="1">
      <alignment horizontal="left"/>
    </xf>
    <xf numFmtId="0" fontId="91" fillId="0" borderId="28" xfId="0" applyFont="1" applyBorder="1" applyAlignment="1">
      <alignment horizontal="left"/>
    </xf>
    <xf numFmtId="0" fontId="85" fillId="0" borderId="76" xfId="0" applyFont="1" applyBorder="1" applyAlignment="1">
      <alignment horizontal="left" vertical="center" wrapText="1"/>
    </xf>
    <xf numFmtId="1" fontId="85" fillId="0" borderId="76" xfId="0" applyNumberFormat="1" applyFont="1" applyFill="1" applyBorder="1" applyAlignment="1">
      <alignment horizontal="left" vertical="center" wrapText="1"/>
    </xf>
    <xf numFmtId="0" fontId="85" fillId="0" borderId="61" xfId="0" applyFont="1" applyFill="1" applyBorder="1" applyAlignment="1">
      <alignment horizontal="left" vertical="center" wrapText="1"/>
    </xf>
    <xf numFmtId="0" fontId="86" fillId="0" borderId="29" xfId="0" applyFont="1" applyBorder="1" applyAlignment="1">
      <alignment horizontal="left"/>
    </xf>
    <xf numFmtId="0" fontId="86" fillId="0" borderId="28" xfId="0" applyFont="1" applyBorder="1" applyAlignment="1">
      <alignment horizontal="left"/>
    </xf>
    <xf numFmtId="0" fontId="86" fillId="0" borderId="45" xfId="0" applyFont="1" applyBorder="1" applyAlignment="1">
      <alignment horizontal="left"/>
    </xf>
    <xf numFmtId="0" fontId="86" fillId="0" borderId="27" xfId="0" applyFont="1" applyBorder="1" applyAlignment="1">
      <alignment horizontal="left"/>
    </xf>
    <xf numFmtId="3" fontId="78" fillId="0" borderId="28" xfId="0" applyNumberFormat="1" applyFont="1" applyBorder="1" applyAlignment="1">
      <alignment horizontal="left"/>
    </xf>
    <xf numFmtId="3" fontId="78" fillId="0" borderId="45" xfId="0" applyNumberFormat="1" applyFont="1" applyBorder="1" applyAlignment="1">
      <alignment horizontal="left"/>
    </xf>
    <xf numFmtId="164" fontId="78" fillId="0" borderId="28" xfId="0" applyNumberFormat="1" applyFont="1" applyBorder="1" applyAlignment="1">
      <alignment horizontal="left"/>
    </xf>
    <xf numFmtId="0" fontId="78" fillId="0" borderId="45" xfId="0" applyFont="1" applyBorder="1" applyAlignment="1">
      <alignment horizontal="left"/>
    </xf>
    <xf numFmtId="0" fontId="78" fillId="0" borderId="28" xfId="0" applyFont="1" applyBorder="1" applyAlignment="1">
      <alignment horizontal="left"/>
    </xf>
    <xf numFmtId="3" fontId="87" fillId="0" borderId="28" xfId="0" applyNumberFormat="1" applyFont="1" applyBorder="1" applyAlignment="1">
      <alignment horizontal="left"/>
    </xf>
    <xf numFmtId="0" fontId="85" fillId="0" borderId="45" xfId="0" applyFont="1" applyBorder="1" applyAlignment="1">
      <alignment horizontal="left"/>
    </xf>
    <xf numFmtId="0" fontId="85" fillId="0" borderId="27" xfId="0" applyFont="1" applyBorder="1" applyAlignment="1">
      <alignment horizontal="left"/>
    </xf>
    <xf numFmtId="0" fontId="92" fillId="0" borderId="45" xfId="0" applyFont="1" applyBorder="1" applyAlignment="1">
      <alignment horizontal="left"/>
    </xf>
    <xf numFmtId="164" fontId="78" fillId="0" borderId="45" xfId="0" applyNumberFormat="1" applyFont="1" applyBorder="1" applyAlignment="1">
      <alignment horizontal="left"/>
    </xf>
    <xf numFmtId="3" fontId="91" fillId="0" borderId="70" xfId="0" applyNumberFormat="1" applyFont="1" applyBorder="1" applyAlignment="1">
      <alignment horizontal="left"/>
    </xf>
    <xf numFmtId="0" fontId="86" fillId="0" borderId="72" xfId="0" applyFont="1" applyBorder="1" applyAlignment="1">
      <alignment horizontal="left"/>
    </xf>
    <xf numFmtId="0" fontId="86" fillId="0" borderId="62" xfId="0" applyFont="1" applyBorder="1" applyAlignment="1">
      <alignment horizontal="left"/>
    </xf>
    <xf numFmtId="3" fontId="78" fillId="0" borderId="79" xfId="0" applyNumberFormat="1" applyFont="1" applyBorder="1" applyAlignment="1">
      <alignment horizontal="left"/>
    </xf>
    <xf numFmtId="0" fontId="86" fillId="0" borderId="73" xfId="0" applyFont="1" applyBorder="1" applyAlignment="1">
      <alignment horizontal="left"/>
    </xf>
    <xf numFmtId="0" fontId="86" fillId="0" borderId="43" xfId="0" applyFont="1" applyBorder="1" applyAlignment="1">
      <alignment horizontal="left"/>
    </xf>
    <xf numFmtId="0" fontId="86" fillId="0" borderId="21" xfId="0" applyFont="1" applyBorder="1" applyAlignment="1">
      <alignment horizontal="left"/>
    </xf>
    <xf numFmtId="1" fontId="78" fillId="0" borderId="44" xfId="0" applyNumberFormat="1" applyFont="1" applyBorder="1" applyAlignment="1">
      <alignment horizontal="left"/>
    </xf>
    <xf numFmtId="0" fontId="78" fillId="0" borderId="43" xfId="0" applyFont="1" applyBorder="1" applyAlignment="1">
      <alignment horizontal="left"/>
    </xf>
    <xf numFmtId="0" fontId="85" fillId="0" borderId="79" xfId="0" applyFont="1" applyBorder="1" applyAlignment="1">
      <alignment horizontal="left" vertical="center"/>
    </xf>
    <xf numFmtId="0" fontId="85" fillId="0" borderId="21" xfId="0" applyFont="1" applyBorder="1" applyAlignment="1">
      <alignment horizontal="left" vertical="center"/>
    </xf>
    <xf numFmtId="0" fontId="86" fillId="0" borderId="16" xfId="0" applyFont="1" applyBorder="1" applyAlignment="1">
      <alignment horizontal="left"/>
    </xf>
    <xf numFmtId="0" fontId="86" fillId="0" borderId="19" xfId="0" applyFont="1" applyBorder="1" applyAlignment="1">
      <alignment horizontal="left"/>
    </xf>
    <xf numFmtId="1" fontId="86" fillId="0" borderId="11" xfId="0" applyNumberFormat="1" applyFont="1" applyBorder="1" applyAlignment="1">
      <alignment horizontal="left" vertical="center"/>
    </xf>
    <xf numFmtId="1" fontId="85" fillId="0" borderId="29" xfId="0" applyNumberFormat="1" applyFont="1" applyBorder="1" applyAlignment="1">
      <alignment horizontal="left" vertical="center"/>
    </xf>
    <xf numFmtId="2" fontId="85" fillId="0" borderId="29" xfId="0" applyNumberFormat="1" applyFont="1" applyBorder="1" applyAlignment="1">
      <alignment horizontal="left" vertical="center"/>
    </xf>
    <xf numFmtId="2" fontId="86" fillId="0" borderId="27" xfId="0" applyNumberFormat="1" applyFont="1" applyBorder="1" applyAlignment="1">
      <alignment horizontal="left"/>
    </xf>
    <xf numFmtId="0" fontId="86" fillId="0" borderId="15" xfId="0" applyFont="1" applyBorder="1" applyAlignment="1">
      <alignment horizontal="left"/>
    </xf>
    <xf numFmtId="2" fontId="86" fillId="0" borderId="15" xfId="0" applyNumberFormat="1" applyFont="1" applyFill="1" applyBorder="1" applyAlignment="1">
      <alignment horizontal="left"/>
    </xf>
    <xf numFmtId="2" fontId="86" fillId="0" borderId="15" xfId="42" applyNumberFormat="1" applyFont="1" applyBorder="1" applyAlignment="1">
      <alignment horizontal="left"/>
    </xf>
    <xf numFmtId="1" fontId="86" fillId="0" borderId="15" xfId="42" applyNumberFormat="1" applyFont="1" applyBorder="1" applyAlignment="1">
      <alignment horizontal="left"/>
    </xf>
    <xf numFmtId="1" fontId="75" fillId="0" borderId="27" xfId="0" applyNumberFormat="1" applyFont="1" applyBorder="1" applyAlignment="1">
      <alignment horizontal="left" vertical="center"/>
    </xf>
    <xf numFmtId="10" fontId="76" fillId="0" borderId="14" xfId="0" applyNumberFormat="1" applyFont="1" applyBorder="1" applyAlignment="1">
      <alignment horizontal="left"/>
    </xf>
    <xf numFmtId="10" fontId="75" fillId="0" borderId="12" xfId="0" applyNumberFormat="1" applyFont="1" applyBorder="1" applyAlignment="1">
      <alignment horizontal="left"/>
    </xf>
    <xf numFmtId="1" fontId="76" fillId="0" borderId="28" xfId="0" applyNumberFormat="1" applyFont="1" applyFill="1" applyBorder="1" applyAlignment="1">
      <alignment horizontal="left"/>
    </xf>
    <xf numFmtId="1" fontId="76" fillId="0" borderId="14" xfId="0" applyNumberFormat="1" applyFont="1" applyFill="1" applyBorder="1" applyAlignment="1">
      <alignment horizontal="left"/>
    </xf>
    <xf numFmtId="1" fontId="7" fillId="0" borderId="15" xfId="0" applyNumberFormat="1" applyFont="1" applyBorder="1" applyAlignment="1">
      <alignment horizontal="left"/>
    </xf>
    <xf numFmtId="1" fontId="7" fillId="0" borderId="12" xfId="0" applyNumberFormat="1" applyFont="1" applyBorder="1" applyAlignment="1">
      <alignment horizontal="left"/>
    </xf>
    <xf numFmtId="1" fontId="83" fillId="0" borderId="12" xfId="0" applyNumberFormat="1" applyFont="1" applyFill="1" applyBorder="1" applyAlignment="1">
      <alignment horizontal="left"/>
    </xf>
    <xf numFmtId="0" fontId="93" fillId="0" borderId="26" xfId="0" applyFont="1" applyBorder="1" applyAlignment="1">
      <alignment horizontal="left"/>
    </xf>
    <xf numFmtId="0" fontId="94" fillId="0" borderId="0" xfId="0" applyFont="1" applyAlignment="1">
      <alignment horizontal="left"/>
    </xf>
    <xf numFmtId="0" fontId="93" fillId="0" borderId="68" xfId="0" applyFont="1" applyBorder="1" applyAlignment="1">
      <alignment horizontal="left"/>
    </xf>
    <xf numFmtId="0" fontId="95" fillId="0" borderId="24" xfId="0" applyFont="1" applyBorder="1" applyAlignment="1">
      <alignment horizontal="left"/>
    </xf>
    <xf numFmtId="0" fontId="95" fillId="0" borderId="13" xfId="0" applyFont="1" applyBorder="1" applyAlignment="1">
      <alignment horizontal="left"/>
    </xf>
    <xf numFmtId="0" fontId="95" fillId="0" borderId="23" xfId="0" applyFont="1" applyBorder="1" applyAlignment="1">
      <alignment horizontal="left"/>
    </xf>
    <xf numFmtId="0" fontId="95" fillId="0" borderId="67" xfId="0" applyFont="1" applyBorder="1" applyAlignment="1">
      <alignment horizontal="left"/>
    </xf>
    <xf numFmtId="0" fontId="95" fillId="0" borderId="22" xfId="0" applyFont="1" applyBorder="1" applyAlignment="1">
      <alignment horizontal="left"/>
    </xf>
    <xf numFmtId="0" fontId="95" fillId="0" borderId="0" xfId="0" applyFont="1" applyAlignment="1">
      <alignment horizontal="left"/>
    </xf>
    <xf numFmtId="2" fontId="93" fillId="0" borderId="11" xfId="0" applyNumberFormat="1" applyFont="1" applyBorder="1" applyAlignment="1">
      <alignment horizontal="left" vertical="center"/>
    </xf>
    <xf numFmtId="2" fontId="93" fillId="0" borderId="15" xfId="0" applyNumberFormat="1" applyFont="1" applyBorder="1" applyAlignment="1">
      <alignment horizontal="left" vertical="center"/>
    </xf>
    <xf numFmtId="2" fontId="93" fillId="0" borderId="29" xfId="0" applyNumberFormat="1" applyFont="1" applyBorder="1" applyAlignment="1">
      <alignment horizontal="left" vertical="center"/>
    </xf>
    <xf numFmtId="2" fontId="93" fillId="0" borderId="28" xfId="0" applyNumberFormat="1" applyFont="1" applyBorder="1" applyAlignment="1">
      <alignment horizontal="left" vertical="center"/>
    </xf>
    <xf numFmtId="2" fontId="93" fillId="0" borderId="12" xfId="0" applyNumberFormat="1" applyFont="1" applyBorder="1" applyAlignment="1">
      <alignment horizontal="left" vertical="center"/>
    </xf>
    <xf numFmtId="2" fontId="93" fillId="0" borderId="14" xfId="0" applyNumberFormat="1" applyFont="1" applyBorder="1" applyAlignment="1">
      <alignment horizontal="left" vertical="center"/>
    </xf>
    <xf numFmtId="2" fontId="93" fillId="0" borderId="10" xfId="0" applyNumberFormat="1" applyFont="1" applyBorder="1" applyAlignment="1">
      <alignment horizontal="left" vertical="center"/>
    </xf>
    <xf numFmtId="2" fontId="93" fillId="0" borderId="18" xfId="0" applyNumberFormat="1" applyFont="1" applyBorder="1" applyAlignment="1">
      <alignment horizontal="left" vertical="center"/>
    </xf>
    <xf numFmtId="2" fontId="93" fillId="0" borderId="11" xfId="42" applyNumberFormat="1" applyFont="1" applyBorder="1" applyAlignment="1">
      <alignment horizontal="left"/>
    </xf>
    <xf numFmtId="0" fontId="93" fillId="0" borderId="0" xfId="0" applyFont="1" applyAlignment="1">
      <alignment horizontal="left"/>
    </xf>
    <xf numFmtId="2" fontId="93" fillId="0" borderId="24" xfId="0" applyNumberFormat="1" applyFont="1" applyBorder="1" applyAlignment="1">
      <alignment horizontal="left" vertical="center"/>
    </xf>
    <xf numFmtId="2" fontId="93" fillId="0" borderId="22" xfId="0" applyNumberFormat="1" applyFont="1" applyBorder="1" applyAlignment="1">
      <alignment horizontal="left" vertical="center"/>
    </xf>
    <xf numFmtId="2" fontId="93" fillId="0" borderId="66" xfId="0" applyNumberFormat="1" applyFont="1" applyBorder="1" applyAlignment="1">
      <alignment horizontal="left" vertical="center"/>
    </xf>
    <xf numFmtId="2" fontId="93" fillId="0" borderId="70" xfId="0" applyNumberFormat="1" applyFont="1" applyBorder="1" applyAlignment="1">
      <alignment horizontal="left" vertical="center"/>
    </xf>
    <xf numFmtId="2" fontId="93" fillId="0" borderId="13" xfId="0" applyNumberFormat="1" applyFont="1" applyBorder="1" applyAlignment="1">
      <alignment horizontal="left" vertical="center"/>
    </xf>
    <xf numFmtId="2" fontId="93" fillId="0" borderId="67" xfId="0" applyNumberFormat="1" applyFont="1" applyBorder="1" applyAlignment="1">
      <alignment horizontal="left" vertical="center"/>
    </xf>
    <xf numFmtId="2" fontId="93" fillId="0" borderId="23" xfId="0" applyNumberFormat="1" applyFont="1" applyBorder="1" applyAlignment="1">
      <alignment horizontal="left" vertical="center"/>
    </xf>
    <xf numFmtId="2" fontId="93" fillId="0" borderId="24" xfId="42" applyNumberFormat="1" applyFont="1" applyBorder="1" applyAlignment="1">
      <alignment horizontal="left"/>
    </xf>
    <xf numFmtId="0" fontId="95" fillId="0" borderId="80" xfId="0" applyFont="1" applyBorder="1" applyAlignment="1">
      <alignment horizontal="left"/>
    </xf>
    <xf numFmtId="0" fontId="95" fillId="0" borderId="81" xfId="0" applyFont="1" applyBorder="1" applyAlignment="1">
      <alignment horizontal="left"/>
    </xf>
    <xf numFmtId="0" fontId="95" fillId="0" borderId="82" xfId="0" applyFont="1" applyBorder="1" applyAlignment="1">
      <alignment horizontal="left"/>
    </xf>
    <xf numFmtId="0" fontId="96" fillId="0" borderId="0" xfId="0" applyFont="1" applyAlignment="1">
      <alignment horizontal="left"/>
    </xf>
    <xf numFmtId="0" fontId="95" fillId="0" borderId="61" xfId="0" applyFont="1" applyBorder="1" applyAlignment="1">
      <alignment horizontal="left"/>
    </xf>
    <xf numFmtId="2" fontId="93" fillId="0" borderId="60" xfId="0" applyNumberFormat="1" applyFont="1" applyBorder="1" applyAlignment="1">
      <alignment horizontal="left" vertical="center"/>
    </xf>
    <xf numFmtId="2" fontId="93" fillId="0" borderId="75" xfId="0" applyNumberFormat="1" applyFont="1" applyBorder="1" applyAlignment="1">
      <alignment horizontal="left" vertical="center"/>
    </xf>
    <xf numFmtId="2" fontId="93" fillId="0" borderId="56" xfId="0" applyNumberFormat="1" applyFont="1" applyBorder="1" applyAlignment="1">
      <alignment horizontal="left" vertical="center"/>
    </xf>
    <xf numFmtId="2" fontId="93" fillId="0" borderId="76" xfId="0" applyNumberFormat="1" applyFont="1" applyBorder="1" applyAlignment="1">
      <alignment horizontal="left" vertical="center"/>
    </xf>
    <xf numFmtId="2" fontId="97" fillId="0" borderId="60" xfId="0" applyNumberFormat="1" applyFont="1" applyBorder="1" applyAlignment="1">
      <alignment horizontal="left"/>
    </xf>
    <xf numFmtId="2" fontId="97" fillId="0" borderId="56" xfId="42" applyNumberFormat="1" applyFont="1" applyBorder="1" applyAlignment="1">
      <alignment horizontal="left"/>
    </xf>
    <xf numFmtId="2" fontId="97" fillId="0" borderId="56" xfId="0" applyNumberFormat="1" applyFont="1" applyBorder="1" applyAlignment="1">
      <alignment horizontal="left"/>
    </xf>
    <xf numFmtId="2" fontId="97" fillId="0" borderId="61" xfId="0" applyNumberFormat="1" applyFont="1" applyBorder="1" applyAlignment="1">
      <alignment horizontal="left"/>
    </xf>
    <xf numFmtId="0" fontId="98" fillId="0" borderId="0" xfId="0" applyFont="1" applyAlignment="1">
      <alignment horizontal="left"/>
    </xf>
    <xf numFmtId="0" fontId="95" fillId="0" borderId="83" xfId="0" applyFont="1" applyBorder="1" applyAlignment="1">
      <alignment horizontal="left"/>
    </xf>
    <xf numFmtId="2" fontId="93" fillId="0" borderId="84" xfId="0" applyNumberFormat="1" applyFont="1" applyBorder="1" applyAlignment="1">
      <alignment horizontal="left" vertical="center"/>
    </xf>
    <xf numFmtId="2" fontId="93" fillId="0" borderId="81" xfId="0" applyNumberFormat="1" applyFont="1" applyBorder="1" applyAlignment="1">
      <alignment horizontal="left" vertical="center"/>
    </xf>
    <xf numFmtId="2" fontId="93" fillId="0" borderId="85" xfId="0" applyNumberFormat="1" applyFont="1" applyBorder="1" applyAlignment="1">
      <alignment horizontal="left" vertical="center"/>
    </xf>
    <xf numFmtId="2" fontId="93" fillId="0" borderId="82" xfId="0" applyNumberFormat="1" applyFont="1" applyBorder="1" applyAlignment="1">
      <alignment horizontal="left" vertical="center"/>
    </xf>
    <xf numFmtId="2" fontId="97" fillId="0" borderId="84" xfId="0" applyNumberFormat="1" applyFont="1" applyBorder="1" applyAlignment="1">
      <alignment horizontal="left"/>
    </xf>
    <xf numFmtId="2" fontId="97" fillId="0" borderId="85" xfId="0" applyNumberFormat="1" applyFont="1" applyBorder="1" applyAlignment="1">
      <alignment horizontal="left"/>
    </xf>
    <xf numFmtId="2" fontId="97" fillId="0" borderId="83" xfId="0" applyNumberFormat="1" applyFont="1" applyBorder="1" applyAlignment="1">
      <alignment horizontal="left"/>
    </xf>
    <xf numFmtId="0" fontId="86" fillId="0" borderId="0" xfId="0" applyFont="1" applyAlignment="1">
      <alignment/>
    </xf>
    <xf numFmtId="0" fontId="86" fillId="0" borderId="15" xfId="0" applyFont="1" applyBorder="1" applyAlignment="1">
      <alignment/>
    </xf>
    <xf numFmtId="0" fontId="99" fillId="0" borderId="27" xfId="0" applyFont="1" applyBorder="1" applyAlignment="1">
      <alignment horizontal="left"/>
    </xf>
    <xf numFmtId="0" fontId="76" fillId="0" borderId="0" xfId="0" applyFont="1" applyAlignment="1">
      <alignment/>
    </xf>
    <xf numFmtId="0" fontId="84" fillId="0" borderId="0" xfId="0" applyFont="1" applyAlignment="1">
      <alignment horizontal="left"/>
    </xf>
    <xf numFmtId="0" fontId="79" fillId="0" borderId="27" xfId="0" applyFont="1" applyBorder="1" applyAlignment="1">
      <alignment horizontal="left"/>
    </xf>
    <xf numFmtId="0" fontId="81" fillId="0" borderId="63" xfId="0" applyFont="1" applyBorder="1" applyAlignment="1">
      <alignment/>
    </xf>
    <xf numFmtId="0" fontId="81" fillId="0" borderId="29" xfId="0" applyFont="1" applyBorder="1" applyAlignment="1">
      <alignment/>
    </xf>
    <xf numFmtId="0" fontId="81" fillId="0" borderId="66" xfId="0" applyFont="1" applyBorder="1" applyAlignment="1">
      <alignment/>
    </xf>
    <xf numFmtId="0" fontId="77" fillId="0" borderId="29" xfId="0" applyFont="1" applyBorder="1" applyAlignment="1">
      <alignment horizontal="left"/>
    </xf>
    <xf numFmtId="0" fontId="86" fillId="0" borderId="0" xfId="0" applyFont="1" applyFill="1" applyAlignment="1">
      <alignment/>
    </xf>
    <xf numFmtId="0" fontId="81" fillId="0" borderId="49" xfId="0" applyFont="1" applyBorder="1" applyAlignment="1">
      <alignment/>
    </xf>
    <xf numFmtId="0" fontId="81" fillId="0" borderId="10" xfId="0" applyFont="1" applyBorder="1" applyAlignment="1">
      <alignment/>
    </xf>
    <xf numFmtId="0" fontId="79" fillId="0" borderId="55" xfId="0" applyFont="1" applyBorder="1" applyAlignment="1">
      <alignment horizontal="left"/>
    </xf>
    <xf numFmtId="0" fontId="81" fillId="0" borderId="69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55" xfId="0" applyFont="1" applyBorder="1" applyAlignment="1">
      <alignment/>
    </xf>
    <xf numFmtId="0" fontId="81" fillId="0" borderId="27" xfId="0" applyFont="1" applyBorder="1" applyAlignment="1">
      <alignment/>
    </xf>
    <xf numFmtId="0" fontId="81" fillId="0" borderId="65" xfId="0" applyFont="1" applyBorder="1" applyAlignment="1">
      <alignment/>
    </xf>
    <xf numFmtId="0" fontId="81" fillId="0" borderId="15" xfId="0" applyFont="1" applyBorder="1" applyAlignment="1">
      <alignment/>
    </xf>
    <xf numFmtId="0" fontId="81" fillId="0" borderId="62" xfId="0" applyFont="1" applyBorder="1" applyAlignment="1">
      <alignment/>
    </xf>
    <xf numFmtId="0" fontId="82" fillId="0" borderId="0" xfId="0" applyFont="1" applyAlignment="1">
      <alignment/>
    </xf>
    <xf numFmtId="0" fontId="100" fillId="0" borderId="0" xfId="0" applyFont="1" applyAlignment="1">
      <alignment horizontal="left"/>
    </xf>
    <xf numFmtId="2" fontId="82" fillId="0" borderId="27" xfId="0" applyNumberFormat="1" applyFont="1" applyBorder="1" applyAlignment="1">
      <alignment vertical="center"/>
    </xf>
    <xf numFmtId="2" fontId="83" fillId="0" borderId="27" xfId="0" applyNumberFormat="1" applyFont="1" applyBorder="1" applyAlignment="1">
      <alignment vertical="center"/>
    </xf>
    <xf numFmtId="2" fontId="82" fillId="0" borderId="29" xfId="0" applyNumberFormat="1" applyFont="1" applyBorder="1" applyAlignment="1">
      <alignment horizontal="right"/>
    </xf>
    <xf numFmtId="2" fontId="83" fillId="0" borderId="29" xfId="0" applyNumberFormat="1" applyFont="1" applyBorder="1" applyAlignment="1">
      <alignment horizontal="right"/>
    </xf>
    <xf numFmtId="0" fontId="87" fillId="0" borderId="45" xfId="0" applyFont="1" applyBorder="1" applyAlignment="1">
      <alignment horizontal="left"/>
    </xf>
    <xf numFmtId="0" fontId="87" fillId="0" borderId="73" xfId="0" applyFont="1" applyBorder="1" applyAlignment="1">
      <alignment horizontal="left"/>
    </xf>
    <xf numFmtId="0" fontId="83" fillId="0" borderId="43" xfId="0" applyFont="1" applyBorder="1" applyAlignment="1">
      <alignment vertical="center"/>
    </xf>
    <xf numFmtId="0" fontId="83" fillId="0" borderId="21" xfId="0" applyFont="1" applyBorder="1" applyAlignment="1">
      <alignment horizontal="center" vertical="center"/>
    </xf>
    <xf numFmtId="0" fontId="81" fillId="0" borderId="73" xfId="0" applyFont="1" applyBorder="1" applyAlignment="1">
      <alignment/>
    </xf>
    <xf numFmtId="2" fontId="81" fillId="0" borderId="0" xfId="0" applyNumberFormat="1" applyFont="1" applyAlignment="1">
      <alignment/>
    </xf>
    <xf numFmtId="0" fontId="81" fillId="0" borderId="45" xfId="0" applyFont="1" applyBorder="1" applyAlignment="1">
      <alignment/>
    </xf>
    <xf numFmtId="0" fontId="83" fillId="0" borderId="43" xfId="0" applyFont="1" applyBorder="1" applyAlignment="1">
      <alignment horizontal="center" vertical="center"/>
    </xf>
    <xf numFmtId="2" fontId="82" fillId="0" borderId="27" xfId="0" applyNumberFormat="1" applyFont="1" applyBorder="1" applyAlignment="1">
      <alignment horizontal="right"/>
    </xf>
    <xf numFmtId="2" fontId="83" fillId="0" borderId="27" xfId="0" applyNumberFormat="1" applyFont="1" applyBorder="1" applyAlignment="1">
      <alignment horizontal="right"/>
    </xf>
    <xf numFmtId="0" fontId="75" fillId="0" borderId="21" xfId="0" applyFont="1" applyBorder="1" applyAlignment="1">
      <alignment horizontal="center" vertical="center"/>
    </xf>
    <xf numFmtId="2" fontId="76" fillId="0" borderId="29" xfId="0" applyNumberFormat="1" applyFont="1" applyBorder="1" applyAlignment="1">
      <alignment horizontal="right"/>
    </xf>
    <xf numFmtId="2" fontId="75" fillId="0" borderId="29" xfId="0" applyNumberFormat="1" applyFont="1" applyBorder="1" applyAlignment="1">
      <alignment horizontal="right"/>
    </xf>
    <xf numFmtId="0" fontId="76" fillId="0" borderId="25" xfId="0" applyFont="1" applyBorder="1" applyAlignment="1">
      <alignment horizontal="left"/>
    </xf>
    <xf numFmtId="2" fontId="76" fillId="0" borderId="29" xfId="0" applyNumberFormat="1" applyFont="1" applyBorder="1" applyAlignment="1">
      <alignment horizontal="left"/>
    </xf>
    <xf numFmtId="2" fontId="75" fillId="0" borderId="29" xfId="0" applyNumberFormat="1" applyFont="1" applyBorder="1" applyAlignment="1">
      <alignment horizontal="left"/>
    </xf>
    <xf numFmtId="2" fontId="77" fillId="0" borderId="29" xfId="0" applyNumberFormat="1" applyFont="1" applyBorder="1" applyAlignment="1">
      <alignment horizontal="left"/>
    </xf>
    <xf numFmtId="2" fontId="86" fillId="0" borderId="29" xfId="0" applyNumberFormat="1" applyFont="1" applyBorder="1" applyAlignment="1">
      <alignment horizontal="left"/>
    </xf>
    <xf numFmtId="2" fontId="82" fillId="0" borderId="29" xfId="44" applyNumberFormat="1" applyFont="1" applyBorder="1" applyAlignment="1">
      <alignment horizontal="right"/>
    </xf>
    <xf numFmtId="2" fontId="82" fillId="0" borderId="29" xfId="42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2" fontId="82" fillId="0" borderId="29" xfId="0" applyNumberFormat="1" applyFont="1" applyBorder="1" applyAlignment="1">
      <alignment horizontal="right" wrapText="1"/>
    </xf>
    <xf numFmtId="3" fontId="78" fillId="0" borderId="29" xfId="0" applyNumberFormat="1" applyFont="1" applyBorder="1" applyAlignment="1">
      <alignment horizontal="right"/>
    </xf>
    <xf numFmtId="3" fontId="87" fillId="0" borderId="29" xfId="0" applyNumberFormat="1" applyFont="1" applyBorder="1" applyAlignment="1">
      <alignment horizontal="right"/>
    </xf>
    <xf numFmtId="164" fontId="78" fillId="0" borderId="29" xfId="0" applyNumberFormat="1" applyFont="1" applyBorder="1" applyAlignment="1">
      <alignment horizontal="right"/>
    </xf>
    <xf numFmtId="2" fontId="82" fillId="0" borderId="29" xfId="0" applyNumberFormat="1" applyFont="1" applyFill="1" applyBorder="1" applyAlignment="1">
      <alignment horizontal="right"/>
    </xf>
    <xf numFmtId="1" fontId="101" fillId="0" borderId="42" xfId="0" applyNumberFormat="1" applyFont="1" applyFill="1" applyBorder="1" applyAlignment="1">
      <alignment horizontal="left" vertical="top" wrapText="1"/>
    </xf>
    <xf numFmtId="1" fontId="101" fillId="0" borderId="30" xfId="0" applyNumberFormat="1" applyFont="1" applyFill="1" applyBorder="1" applyAlignment="1">
      <alignment horizontal="left" vertical="center"/>
    </xf>
    <xf numFmtId="1" fontId="101" fillId="0" borderId="31" xfId="0" applyNumberFormat="1" applyFont="1" applyFill="1" applyBorder="1" applyAlignment="1">
      <alignment horizontal="left" vertical="center"/>
    </xf>
    <xf numFmtId="1" fontId="101" fillId="0" borderId="32" xfId="0" applyNumberFormat="1" applyFont="1" applyFill="1" applyBorder="1" applyAlignment="1">
      <alignment horizontal="left" vertical="center"/>
    </xf>
    <xf numFmtId="1" fontId="101" fillId="0" borderId="33" xfId="0" applyNumberFormat="1" applyFont="1" applyFill="1" applyBorder="1" applyAlignment="1">
      <alignment horizontal="left" vertical="center"/>
    </xf>
    <xf numFmtId="1" fontId="101" fillId="0" borderId="33" xfId="0" applyNumberFormat="1" applyFont="1" applyBorder="1" applyAlignment="1">
      <alignment horizontal="left" vertical="center"/>
    </xf>
    <xf numFmtId="1" fontId="101" fillId="0" borderId="30" xfId="0" applyNumberFormat="1" applyFont="1" applyBorder="1" applyAlignment="1">
      <alignment horizontal="left" vertical="center"/>
    </xf>
    <xf numFmtId="1" fontId="101" fillId="0" borderId="42" xfId="0" applyNumberFormat="1" applyFont="1" applyBorder="1" applyAlignment="1">
      <alignment horizontal="left" vertical="center"/>
    </xf>
    <xf numFmtId="1" fontId="101" fillId="0" borderId="0" xfId="0" applyNumberFormat="1" applyFont="1" applyFill="1" applyAlignment="1">
      <alignment horizontal="left"/>
    </xf>
    <xf numFmtId="1" fontId="102" fillId="0" borderId="27" xfId="0" applyNumberFormat="1" applyFont="1" applyFill="1" applyBorder="1" applyAlignment="1">
      <alignment horizontal="left" vertical="top" wrapText="1"/>
    </xf>
    <xf numFmtId="1" fontId="101" fillId="0" borderId="11" xfId="0" applyNumberFormat="1" applyFont="1" applyBorder="1" applyAlignment="1">
      <alignment horizontal="left" vertical="center"/>
    </xf>
    <xf numFmtId="1" fontId="101" fillId="0" borderId="12" xfId="0" applyNumberFormat="1" applyFont="1" applyBorder="1" applyAlignment="1">
      <alignment horizontal="left" vertical="center"/>
    </xf>
    <xf numFmtId="1" fontId="101" fillId="0" borderId="10" xfId="0" applyNumberFormat="1" applyFont="1" applyBorder="1" applyAlignment="1">
      <alignment horizontal="left" vertical="center"/>
    </xf>
    <xf numFmtId="1" fontId="101" fillId="0" borderId="15" xfId="0" applyNumberFormat="1" applyFont="1" applyBorder="1" applyAlignment="1">
      <alignment horizontal="left" vertical="center"/>
    </xf>
    <xf numFmtId="1" fontId="101" fillId="0" borderId="27" xfId="0" applyNumberFormat="1" applyFont="1" applyBorder="1" applyAlignment="1">
      <alignment horizontal="left" vertical="center"/>
    </xf>
    <xf numFmtId="1" fontId="102" fillId="0" borderId="0" xfId="0" applyNumberFormat="1" applyFont="1" applyAlignment="1">
      <alignment horizontal="left"/>
    </xf>
    <xf numFmtId="1" fontId="102" fillId="0" borderId="11" xfId="0" applyNumberFormat="1" applyFont="1" applyBorder="1" applyAlignment="1">
      <alignment horizontal="left" vertical="center"/>
    </xf>
    <xf numFmtId="1" fontId="102" fillId="0" borderId="12" xfId="0" applyNumberFormat="1" applyFont="1" applyBorder="1" applyAlignment="1">
      <alignment horizontal="left" vertical="center"/>
    </xf>
    <xf numFmtId="1" fontId="102" fillId="0" borderId="10" xfId="0" applyNumberFormat="1" applyFont="1" applyBorder="1" applyAlignment="1">
      <alignment horizontal="left" vertical="center"/>
    </xf>
    <xf numFmtId="1" fontId="102" fillId="0" borderId="15" xfId="0" applyNumberFormat="1" applyFont="1" applyBorder="1" applyAlignment="1">
      <alignment horizontal="left" vertical="center"/>
    </xf>
    <xf numFmtId="0" fontId="101" fillId="0" borderId="17" xfId="0" applyFont="1" applyBorder="1" applyAlignment="1">
      <alignment horizontal="left"/>
    </xf>
    <xf numFmtId="0" fontId="101" fillId="0" borderId="0" xfId="0" applyFont="1" applyBorder="1" applyAlignment="1">
      <alignment horizontal="left"/>
    </xf>
    <xf numFmtId="0" fontId="101" fillId="0" borderId="25" xfId="0" applyFont="1" applyBorder="1" applyAlignment="1">
      <alignment horizontal="left"/>
    </xf>
    <xf numFmtId="1" fontId="75" fillId="0" borderId="20" xfId="0" applyNumberFormat="1" applyFont="1" applyBorder="1" applyAlignment="1">
      <alignment horizontal="left" vertical="center"/>
    </xf>
    <xf numFmtId="1" fontId="75" fillId="0" borderId="16" xfId="0" applyNumberFormat="1" applyFont="1" applyBorder="1" applyAlignment="1">
      <alignment horizontal="left" vertical="center"/>
    </xf>
    <xf numFmtId="1" fontId="75" fillId="0" borderId="19" xfId="0" applyNumberFormat="1" applyFont="1" applyBorder="1" applyAlignment="1">
      <alignment horizontal="left" vertical="center"/>
    </xf>
    <xf numFmtId="1" fontId="76" fillId="0" borderId="18" xfId="0" applyNumberFormat="1" applyFont="1" applyFill="1" applyBorder="1" applyAlignment="1">
      <alignment horizontal="left" vertical="center" shrinkToFit="1"/>
    </xf>
    <xf numFmtId="1" fontId="76" fillId="0" borderId="16" xfId="0" applyNumberFormat="1" applyFont="1" applyFill="1" applyBorder="1" applyAlignment="1">
      <alignment horizontal="left" vertical="center" shrinkToFit="1"/>
    </xf>
    <xf numFmtId="1" fontId="76" fillId="0" borderId="19" xfId="0" applyNumberFormat="1" applyFont="1" applyFill="1" applyBorder="1" applyAlignment="1">
      <alignment horizontal="left" vertical="center" shrinkToFit="1"/>
    </xf>
    <xf numFmtId="1" fontId="75" fillId="0" borderId="18" xfId="0" applyNumberFormat="1" applyFont="1" applyBorder="1" applyAlignment="1">
      <alignment horizontal="left" vertical="center"/>
    </xf>
    <xf numFmtId="1" fontId="75" fillId="0" borderId="43" xfId="0" applyNumberFormat="1" applyFont="1" applyBorder="1" applyAlignment="1">
      <alignment horizontal="left" vertical="center"/>
    </xf>
    <xf numFmtId="0" fontId="101" fillId="0" borderId="80" xfId="0" applyFont="1" applyBorder="1" applyAlignment="1">
      <alignment horizontal="left"/>
    </xf>
    <xf numFmtId="0" fontId="101" fillId="0" borderId="81" xfId="0" applyFont="1" applyBorder="1" applyAlignment="1">
      <alignment horizontal="left"/>
    </xf>
    <xf numFmtId="0" fontId="101" fillId="0" borderId="82" xfId="0" applyFont="1" applyBorder="1" applyAlignment="1">
      <alignment horizontal="left"/>
    </xf>
    <xf numFmtId="0" fontId="86" fillId="0" borderId="20" xfId="0" applyFont="1" applyBorder="1" applyAlignment="1">
      <alignment/>
    </xf>
    <xf numFmtId="1" fontId="85" fillId="0" borderId="76" xfId="0" applyNumberFormat="1" applyFont="1" applyBorder="1" applyAlignment="1">
      <alignment horizontal="left" vertical="center" wrapText="1"/>
    </xf>
    <xf numFmtId="0" fontId="86" fillId="0" borderId="29" xfId="0" applyFont="1" applyBorder="1" applyAlignment="1">
      <alignment/>
    </xf>
    <xf numFmtId="1" fontId="85" fillId="0" borderId="60" xfId="0" applyNumberFormat="1" applyFont="1" applyFill="1" applyBorder="1" applyAlignment="1">
      <alignment horizontal="left" vertical="center" wrapText="1"/>
    </xf>
    <xf numFmtId="1" fontId="85" fillId="0" borderId="57" xfId="0" applyNumberFormat="1" applyFont="1" applyBorder="1" applyAlignment="1">
      <alignment horizontal="left" vertical="center" wrapText="1"/>
    </xf>
    <xf numFmtId="1" fontId="85" fillId="0" borderId="59" xfId="0" applyNumberFormat="1" applyFont="1" applyBorder="1" applyAlignment="1">
      <alignment horizontal="left" vertical="center" wrapText="1"/>
    </xf>
    <xf numFmtId="1" fontId="85" fillId="0" borderId="60" xfId="0" applyNumberFormat="1" applyFont="1" applyBorder="1" applyAlignment="1">
      <alignment horizontal="left" vertical="center" wrapText="1"/>
    </xf>
    <xf numFmtId="1" fontId="85" fillId="0" borderId="76" xfId="0" applyNumberFormat="1" applyFont="1" applyBorder="1" applyAlignment="1">
      <alignment horizontal="left" vertical="justify" wrapText="1"/>
    </xf>
    <xf numFmtId="0" fontId="86" fillId="0" borderId="0" xfId="0" applyFont="1" applyBorder="1" applyAlignment="1">
      <alignment/>
    </xf>
    <xf numFmtId="0" fontId="86" fillId="0" borderId="33" xfId="0" applyFont="1" applyBorder="1" applyAlignment="1">
      <alignment/>
    </xf>
    <xf numFmtId="0" fontId="85" fillId="0" borderId="76" xfId="0" applyFont="1" applyFill="1" applyBorder="1" applyAlignment="1">
      <alignment horizontal="left" vertical="center" wrapText="1"/>
    </xf>
    <xf numFmtId="0" fontId="86" fillId="0" borderId="21" xfId="0" applyFont="1" applyBorder="1" applyAlignment="1">
      <alignment/>
    </xf>
    <xf numFmtId="1" fontId="82" fillId="0" borderId="15" xfId="0" applyNumberFormat="1" applyFont="1" applyBorder="1" applyAlignment="1">
      <alignment horizontal="left" vertical="center"/>
    </xf>
    <xf numFmtId="1" fontId="83" fillId="0" borderId="15" xfId="0" applyNumberFormat="1" applyFont="1" applyBorder="1" applyAlignment="1">
      <alignment horizontal="left" vertical="center"/>
    </xf>
    <xf numFmtId="1" fontId="82" fillId="0" borderId="22" xfId="0" applyNumberFormat="1" applyFont="1" applyBorder="1" applyAlignment="1">
      <alignment horizontal="left" vertical="center"/>
    </xf>
    <xf numFmtId="1" fontId="84" fillId="0" borderId="27" xfId="0" applyNumberFormat="1" applyFont="1" applyBorder="1" applyAlignment="1">
      <alignment horizontal="left"/>
    </xf>
    <xf numFmtId="1" fontId="79" fillId="0" borderId="27" xfId="0" applyNumberFormat="1" applyFont="1" applyBorder="1" applyAlignment="1">
      <alignment horizontal="left"/>
    </xf>
    <xf numFmtId="1" fontId="79" fillId="0" borderId="62" xfId="0" applyNumberFormat="1" applyFont="1" applyBorder="1" applyAlignment="1">
      <alignment horizontal="left"/>
    </xf>
    <xf numFmtId="1" fontId="85" fillId="0" borderId="75" xfId="0" applyNumberFormat="1" applyFont="1" applyFill="1" applyBorder="1" applyAlignment="1">
      <alignment horizontal="center" vertical="center" wrapText="1"/>
    </xf>
    <xf numFmtId="1" fontId="85" fillId="0" borderId="76" xfId="0" applyNumberFormat="1" applyFont="1" applyFill="1" applyBorder="1" applyAlignment="1">
      <alignment horizontal="center" vertical="center" wrapText="1"/>
    </xf>
    <xf numFmtId="0" fontId="103" fillId="0" borderId="39" xfId="0" applyFont="1" applyBorder="1" applyAlignment="1">
      <alignment horizontal="left"/>
    </xf>
    <xf numFmtId="0" fontId="101" fillId="0" borderId="39" xfId="0" applyFont="1" applyBorder="1" applyAlignment="1">
      <alignment horizontal="left"/>
    </xf>
    <xf numFmtId="0" fontId="104" fillId="0" borderId="0" xfId="0" applyFont="1" applyAlignment="1">
      <alignment/>
    </xf>
    <xf numFmtId="0" fontId="101" fillId="0" borderId="37" xfId="0" applyFont="1" applyBorder="1" applyAlignment="1">
      <alignment horizontal="left"/>
    </xf>
    <xf numFmtId="0" fontId="101" fillId="0" borderId="38" xfId="0" applyFont="1" applyBorder="1" applyAlignment="1">
      <alignment horizontal="left"/>
    </xf>
    <xf numFmtId="0" fontId="105" fillId="0" borderId="0" xfId="0" applyFont="1" applyAlignment="1">
      <alignment/>
    </xf>
    <xf numFmtId="1" fontId="85" fillId="0" borderId="28" xfId="0" applyNumberFormat="1" applyFont="1" applyBorder="1" applyAlignment="1">
      <alignment horizontal="left" vertical="center"/>
    </xf>
    <xf numFmtId="0" fontId="103" fillId="0" borderId="62" xfId="0" applyFont="1" applyBorder="1" applyAlignment="1">
      <alignment horizontal="left"/>
    </xf>
    <xf numFmtId="1" fontId="103" fillId="0" borderId="24" xfId="0" applyNumberFormat="1" applyFont="1" applyBorder="1" applyAlignment="1">
      <alignment horizontal="left" vertical="center"/>
    </xf>
    <xf numFmtId="1" fontId="103" fillId="0" borderId="13" xfId="0" applyNumberFormat="1" applyFont="1" applyBorder="1" applyAlignment="1">
      <alignment horizontal="left" vertical="center"/>
    </xf>
    <xf numFmtId="1" fontId="103" fillId="0" borderId="23" xfId="0" applyNumberFormat="1" applyFont="1" applyBorder="1" applyAlignment="1">
      <alignment horizontal="left" vertical="center"/>
    </xf>
    <xf numFmtId="1" fontId="103" fillId="0" borderId="22" xfId="0" applyNumberFormat="1" applyFont="1" applyBorder="1" applyAlignment="1">
      <alignment horizontal="left" vertical="center"/>
    </xf>
    <xf numFmtId="1" fontId="103" fillId="0" borderId="70" xfId="0" applyNumberFormat="1" applyFont="1" applyBorder="1" applyAlignment="1">
      <alignment horizontal="left" vertical="center"/>
    </xf>
    <xf numFmtId="1" fontId="103" fillId="0" borderId="66" xfId="0" applyNumberFormat="1" applyFont="1" applyBorder="1" applyAlignment="1">
      <alignment horizontal="left" vertical="center"/>
    </xf>
    <xf numFmtId="1" fontId="103" fillId="0" borderId="22" xfId="0" applyNumberFormat="1" applyFont="1" applyBorder="1" applyAlignment="1">
      <alignment horizontal="left"/>
    </xf>
    <xf numFmtId="1" fontId="103" fillId="0" borderId="24" xfId="0" applyNumberFormat="1" applyFont="1" applyBorder="1" applyAlignment="1">
      <alignment horizontal="left"/>
    </xf>
    <xf numFmtId="1" fontId="103" fillId="0" borderId="62" xfId="0" applyNumberFormat="1" applyFont="1" applyBorder="1" applyAlignment="1">
      <alignment horizontal="left"/>
    </xf>
    <xf numFmtId="2" fontId="103" fillId="0" borderId="22" xfId="0" applyNumberFormat="1" applyFont="1" applyBorder="1" applyAlignment="1">
      <alignment horizontal="left"/>
    </xf>
    <xf numFmtId="2" fontId="103" fillId="0" borderId="24" xfId="0" applyNumberFormat="1" applyFont="1" applyBorder="1" applyAlignment="1">
      <alignment horizontal="left"/>
    </xf>
    <xf numFmtId="2" fontId="103" fillId="0" borderId="62" xfId="0" applyNumberFormat="1" applyFont="1" applyBorder="1" applyAlignment="1">
      <alignment horizontal="left"/>
    </xf>
    <xf numFmtId="3" fontId="103" fillId="0" borderId="24" xfId="0" applyNumberFormat="1" applyFont="1" applyBorder="1" applyAlignment="1">
      <alignment horizontal="left"/>
    </xf>
    <xf numFmtId="1" fontId="103" fillId="0" borderId="22" xfId="0" applyNumberFormat="1" applyFont="1" applyFill="1" applyBorder="1" applyAlignment="1">
      <alignment horizontal="left"/>
    </xf>
    <xf numFmtId="1" fontId="103" fillId="0" borderId="13" xfId="0" applyNumberFormat="1" applyFont="1" applyFill="1" applyBorder="1" applyAlignment="1">
      <alignment horizontal="left"/>
    </xf>
    <xf numFmtId="1" fontId="103" fillId="0" borderId="22" xfId="42" applyNumberFormat="1" applyFont="1" applyBorder="1" applyAlignment="1">
      <alignment horizontal="left"/>
    </xf>
    <xf numFmtId="1" fontId="103" fillId="0" borderId="24" xfId="42" applyNumberFormat="1" applyFont="1" applyBorder="1" applyAlignment="1">
      <alignment horizontal="left"/>
    </xf>
    <xf numFmtId="1" fontId="103" fillId="0" borderId="13" xfId="42" applyNumberFormat="1" applyFont="1" applyBorder="1" applyAlignment="1">
      <alignment horizontal="left"/>
    </xf>
    <xf numFmtId="1" fontId="103" fillId="0" borderId="23" xfId="42" applyNumberFormat="1" applyFont="1" applyBorder="1" applyAlignment="1">
      <alignment horizontal="left"/>
    </xf>
    <xf numFmtId="0" fontId="103" fillId="0" borderId="0" xfId="0" applyFont="1" applyAlignment="1">
      <alignment horizontal="left"/>
    </xf>
    <xf numFmtId="1" fontId="106" fillId="0" borderId="0" xfId="0" applyNumberFormat="1" applyFont="1" applyAlignment="1">
      <alignment/>
    </xf>
    <xf numFmtId="1" fontId="86" fillId="0" borderId="14" xfId="0" applyNumberFormat="1" applyFont="1" applyBorder="1" applyAlignment="1">
      <alignment horizontal="left" vertical="center"/>
    </xf>
    <xf numFmtId="1" fontId="86" fillId="0" borderId="0" xfId="0" applyNumberFormat="1" applyFont="1" applyFill="1" applyBorder="1" applyAlignment="1">
      <alignment horizontal="left"/>
    </xf>
    <xf numFmtId="1" fontId="86" fillId="0" borderId="15" xfId="44" applyNumberFormat="1" applyFont="1" applyBorder="1" applyAlignment="1">
      <alignment horizontal="left"/>
    </xf>
    <xf numFmtId="1" fontId="86" fillId="0" borderId="14" xfId="44" applyNumberFormat="1" applyFont="1" applyBorder="1" applyAlignment="1">
      <alignment horizontal="left"/>
    </xf>
    <xf numFmtId="1" fontId="86" fillId="0" borderId="11" xfId="0" applyNumberFormat="1" applyFont="1" applyBorder="1" applyAlignment="1">
      <alignment horizontal="left" wrapText="1"/>
    </xf>
    <xf numFmtId="1" fontId="86" fillId="0" borderId="11" xfId="0" applyNumberFormat="1" applyFont="1" applyFill="1" applyBorder="1" applyAlignment="1">
      <alignment horizontal="left"/>
    </xf>
    <xf numFmtId="1" fontId="85" fillId="0" borderId="45" xfId="0" applyNumberFormat="1" applyFont="1" applyBorder="1" applyAlignment="1">
      <alignment horizontal="left" vertical="center"/>
    </xf>
    <xf numFmtId="1" fontId="87" fillId="0" borderId="11" xfId="0" applyNumberFormat="1" applyFont="1" applyBorder="1" applyAlignment="1">
      <alignment horizontal="left"/>
    </xf>
    <xf numFmtId="1" fontId="85" fillId="0" borderId="11" xfId="42" applyNumberFormat="1" applyFont="1" applyBorder="1" applyAlignment="1">
      <alignment horizontal="left"/>
    </xf>
    <xf numFmtId="1" fontId="85" fillId="0" borderId="15" xfId="42" applyNumberFormat="1" applyFont="1" applyBorder="1" applyAlignment="1">
      <alignment horizontal="left"/>
    </xf>
    <xf numFmtId="1" fontId="85" fillId="0" borderId="28" xfId="42" applyNumberFormat="1" applyFont="1" applyBorder="1" applyAlignment="1">
      <alignment horizontal="left"/>
    </xf>
    <xf numFmtId="1" fontId="85" fillId="0" borderId="0" xfId="0" applyNumberFormat="1" applyFont="1" applyAlignment="1">
      <alignment horizontal="left"/>
    </xf>
    <xf numFmtId="1" fontId="85" fillId="0" borderId="12" xfId="0" applyNumberFormat="1" applyFont="1" applyBorder="1" applyAlignment="1">
      <alignment horizontal="left" vertical="center"/>
    </xf>
    <xf numFmtId="1" fontId="85" fillId="0" borderId="14" xfId="0" applyNumberFormat="1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1" fontId="85" fillId="0" borderId="27" xfId="0" applyNumberFormat="1" applyFont="1" applyBorder="1" applyAlignment="1">
      <alignment horizontal="left" vertical="center"/>
    </xf>
    <xf numFmtId="1" fontId="86" fillId="0" borderId="30" xfId="0" applyNumberFormat="1" applyFont="1" applyBorder="1" applyAlignment="1">
      <alignment horizontal="left" vertical="center"/>
    </xf>
    <xf numFmtId="1" fontId="86" fillId="0" borderId="33" xfId="0" applyNumberFormat="1" applyFont="1" applyBorder="1" applyAlignment="1">
      <alignment horizontal="left" vertical="center"/>
    </xf>
    <xf numFmtId="1" fontId="86" fillId="0" borderId="34" xfId="0" applyNumberFormat="1" applyFont="1" applyBorder="1" applyAlignment="1">
      <alignment horizontal="left" vertical="center"/>
    </xf>
    <xf numFmtId="1" fontId="86" fillId="0" borderId="33" xfId="44" applyNumberFormat="1" applyFont="1" applyBorder="1" applyAlignment="1">
      <alignment horizontal="left"/>
    </xf>
    <xf numFmtId="1" fontId="86" fillId="0" borderId="31" xfId="44" applyNumberFormat="1" applyFont="1" applyBorder="1" applyAlignment="1">
      <alignment horizontal="left"/>
    </xf>
    <xf numFmtId="1" fontId="86" fillId="0" borderId="34" xfId="44" applyNumberFormat="1" applyFont="1" applyBorder="1" applyAlignment="1">
      <alignment horizontal="left"/>
    </xf>
    <xf numFmtId="1" fontId="86" fillId="0" borderId="30" xfId="0" applyNumberFormat="1" applyFont="1" applyBorder="1" applyAlignment="1">
      <alignment horizontal="left" wrapText="1"/>
    </xf>
    <xf numFmtId="1" fontId="78" fillId="0" borderId="30" xfId="0" applyNumberFormat="1" applyFont="1" applyBorder="1" applyAlignment="1">
      <alignment horizontal="left"/>
    </xf>
    <xf numFmtId="1" fontId="78" fillId="0" borderId="31" xfId="0" applyNumberFormat="1" applyFont="1" applyBorder="1" applyAlignment="1">
      <alignment horizontal="left"/>
    </xf>
    <xf numFmtId="1" fontId="78" fillId="0" borderId="34" xfId="0" applyNumberFormat="1" applyFont="1" applyBorder="1" applyAlignment="1">
      <alignment horizontal="left"/>
    </xf>
    <xf numFmtId="1" fontId="86" fillId="0" borderId="30" xfId="0" applyNumberFormat="1" applyFont="1" applyFill="1" applyBorder="1" applyAlignment="1">
      <alignment horizontal="left"/>
    </xf>
    <xf numFmtId="1" fontId="86" fillId="0" borderId="35" xfId="0" applyNumberFormat="1" applyFont="1" applyBorder="1" applyAlignment="1">
      <alignment horizontal="left" vertical="center"/>
    </xf>
    <xf numFmtId="1" fontId="86" fillId="0" borderId="36" xfId="0" applyNumberFormat="1" applyFont="1" applyBorder="1" applyAlignment="1">
      <alignment horizontal="left"/>
    </xf>
    <xf numFmtId="1" fontId="86" fillId="0" borderId="35" xfId="0" applyNumberFormat="1" applyFont="1" applyBorder="1" applyAlignment="1">
      <alignment horizontal="left"/>
    </xf>
    <xf numFmtId="1" fontId="103" fillId="0" borderId="0" xfId="0" applyNumberFormat="1" applyFont="1" applyAlignment="1">
      <alignment horizontal="left"/>
    </xf>
    <xf numFmtId="1" fontId="85" fillId="0" borderId="42" xfId="0" applyNumberFormat="1" applyFont="1" applyBorder="1" applyAlignment="1">
      <alignment horizontal="left"/>
    </xf>
    <xf numFmtId="1" fontId="103" fillId="0" borderId="85" xfId="0" applyNumberFormat="1" applyFont="1" applyBorder="1" applyAlignment="1">
      <alignment horizontal="left" vertical="center"/>
    </xf>
    <xf numFmtId="1" fontId="103" fillId="0" borderId="80" xfId="0" applyNumberFormat="1" applyFont="1" applyBorder="1" applyAlignment="1">
      <alignment horizontal="left" vertical="center"/>
    </xf>
    <xf numFmtId="1" fontId="103" fillId="0" borderId="83" xfId="0" applyNumberFormat="1" applyFont="1" applyBorder="1" applyAlignment="1">
      <alignment horizontal="left" vertical="center"/>
    </xf>
    <xf numFmtId="1" fontId="103" fillId="0" borderId="84" xfId="0" applyNumberFormat="1" applyFont="1" applyBorder="1" applyAlignment="1">
      <alignment horizontal="left" vertical="center"/>
    </xf>
    <xf numFmtId="1" fontId="103" fillId="0" borderId="86" xfId="0" applyNumberFormat="1" applyFont="1" applyBorder="1" applyAlignment="1">
      <alignment horizontal="left"/>
    </xf>
    <xf numFmtId="1" fontId="103" fillId="0" borderId="87" xfId="0" applyNumberFormat="1" applyFont="1" applyBorder="1" applyAlignment="1">
      <alignment horizontal="left"/>
    </xf>
    <xf numFmtId="1" fontId="103" fillId="0" borderId="85" xfId="0" applyNumberFormat="1" applyFont="1" applyBorder="1" applyAlignment="1">
      <alignment horizontal="left"/>
    </xf>
    <xf numFmtId="1" fontId="103" fillId="0" borderId="84" xfId="0" applyNumberFormat="1" applyFont="1" applyBorder="1" applyAlignment="1">
      <alignment horizontal="left"/>
    </xf>
    <xf numFmtId="1" fontId="103" fillId="0" borderId="81" xfId="0" applyNumberFormat="1" applyFont="1" applyBorder="1" applyAlignment="1">
      <alignment horizontal="left"/>
    </xf>
    <xf numFmtId="1" fontId="103" fillId="0" borderId="85" xfId="42" applyNumberFormat="1" applyFont="1" applyBorder="1" applyAlignment="1">
      <alignment horizontal="left"/>
    </xf>
    <xf numFmtId="1" fontId="103" fillId="0" borderId="84" xfId="42" applyNumberFormat="1" applyFont="1" applyBorder="1" applyAlignment="1">
      <alignment horizontal="left"/>
    </xf>
    <xf numFmtId="1" fontId="103" fillId="0" borderId="81" xfId="42" applyNumberFormat="1" applyFont="1" applyBorder="1" applyAlignment="1">
      <alignment horizontal="left"/>
    </xf>
    <xf numFmtId="1" fontId="103" fillId="0" borderId="83" xfId="0" applyNumberFormat="1" applyFont="1" applyBorder="1" applyAlignment="1">
      <alignment horizontal="left"/>
    </xf>
    <xf numFmtId="1" fontId="101" fillId="0" borderId="80" xfId="0" applyNumberFormat="1" applyFont="1" applyBorder="1" applyAlignment="1">
      <alignment horizontal="left"/>
    </xf>
    <xf numFmtId="1" fontId="107" fillId="0" borderId="81" xfId="0" applyNumberFormat="1" applyFont="1" applyBorder="1" applyAlignment="1">
      <alignment horizontal="left"/>
    </xf>
    <xf numFmtId="1" fontId="108" fillId="0" borderId="84" xfId="0" applyNumberFormat="1" applyFont="1" applyFill="1" applyBorder="1" applyAlignment="1">
      <alignment horizontal="left"/>
    </xf>
    <xf numFmtId="1" fontId="108" fillId="0" borderId="86" xfId="0" applyNumberFormat="1" applyFont="1" applyFill="1" applyBorder="1" applyAlignment="1">
      <alignment horizontal="left"/>
    </xf>
    <xf numFmtId="1" fontId="109" fillId="0" borderId="30" xfId="0" applyNumberFormat="1" applyFont="1" applyBorder="1" applyAlignment="1">
      <alignment horizontal="left"/>
    </xf>
    <xf numFmtId="1" fontId="107" fillId="0" borderId="80" xfId="0" applyNumberFormat="1" applyFont="1" applyBorder="1" applyAlignment="1">
      <alignment horizontal="left"/>
    </xf>
    <xf numFmtId="1" fontId="107" fillId="0" borderId="82" xfId="0" applyNumberFormat="1" applyFont="1" applyBorder="1" applyAlignment="1">
      <alignment horizontal="left"/>
    </xf>
    <xf numFmtId="1" fontId="107" fillId="0" borderId="81" xfId="0" applyNumberFormat="1" applyFont="1" applyFill="1" applyBorder="1" applyAlignment="1">
      <alignment horizontal="left"/>
    </xf>
    <xf numFmtId="1" fontId="107" fillId="0" borderId="85" xfId="0" applyNumberFormat="1" applyFont="1" applyBorder="1" applyAlignment="1">
      <alignment horizontal="left"/>
    </xf>
    <xf numFmtId="1" fontId="107" fillId="0" borderId="86" xfId="0" applyNumberFormat="1" applyFont="1" applyBorder="1" applyAlignment="1">
      <alignment horizontal="left"/>
    </xf>
    <xf numFmtId="1" fontId="107" fillId="0" borderId="88" xfId="0" applyNumberFormat="1" applyFont="1" applyBorder="1" applyAlignment="1">
      <alignment horizontal="left"/>
    </xf>
    <xf numFmtId="1" fontId="107" fillId="0" borderId="0" xfId="0" applyNumberFormat="1" applyFont="1" applyAlignment="1">
      <alignment horizontal="left"/>
    </xf>
    <xf numFmtId="1" fontId="85" fillId="0" borderId="46" xfId="0" applyNumberFormat="1" applyFont="1" applyBorder="1" applyAlignment="1">
      <alignment horizontal="left"/>
    </xf>
    <xf numFmtId="0" fontId="103" fillId="0" borderId="37" xfId="0" applyFont="1" applyBorder="1" applyAlignment="1">
      <alignment horizontal="left"/>
    </xf>
    <xf numFmtId="0" fontId="103" fillId="0" borderId="38" xfId="0" applyFont="1" applyBorder="1" applyAlignment="1">
      <alignment horizontal="left"/>
    </xf>
    <xf numFmtId="1" fontId="106" fillId="0" borderId="0" xfId="0" applyNumberFormat="1" applyFont="1" applyAlignment="1">
      <alignment horizontal="left"/>
    </xf>
    <xf numFmtId="1" fontId="82" fillId="0" borderId="14" xfId="42" applyNumberFormat="1" applyFont="1" applyBorder="1" applyAlignment="1">
      <alignment horizontal="left"/>
    </xf>
    <xf numFmtId="1" fontId="83" fillId="0" borderId="45" xfId="0" applyNumberFormat="1" applyFont="1" applyBorder="1" applyAlignment="1">
      <alignment horizontal="left" vertical="center"/>
    </xf>
    <xf numFmtId="1" fontId="83" fillId="0" borderId="46" xfId="0" applyNumberFormat="1" applyFont="1" applyBorder="1" applyAlignment="1">
      <alignment horizontal="left" vertical="center"/>
    </xf>
    <xf numFmtId="1" fontId="81" fillId="0" borderId="17" xfId="0" applyNumberFormat="1" applyFont="1" applyBorder="1" applyAlignment="1">
      <alignment horizontal="left"/>
    </xf>
    <xf numFmtId="0" fontId="103" fillId="0" borderId="83" xfId="0" applyFont="1" applyBorder="1" applyAlignment="1">
      <alignment horizontal="left"/>
    </xf>
    <xf numFmtId="1" fontId="103" fillId="0" borderId="86" xfId="0" applyNumberFormat="1" applyFont="1" applyBorder="1" applyAlignment="1">
      <alignment horizontal="left" vertical="center"/>
    </xf>
    <xf numFmtId="1" fontId="103" fillId="0" borderId="87" xfId="0" applyNumberFormat="1" applyFont="1" applyBorder="1" applyAlignment="1">
      <alignment horizontal="left" vertical="center"/>
    </xf>
    <xf numFmtId="1" fontId="103" fillId="0" borderId="82" xfId="0" applyNumberFormat="1" applyFont="1" applyBorder="1" applyAlignment="1">
      <alignment horizontal="left"/>
    </xf>
    <xf numFmtId="0" fontId="106" fillId="0" borderId="0" xfId="0" applyFont="1" applyAlignment="1">
      <alignment horizontal="left"/>
    </xf>
    <xf numFmtId="2" fontId="106" fillId="0" borderId="80" xfId="0" applyNumberFormat="1" applyFont="1" applyBorder="1" applyAlignment="1">
      <alignment horizontal="left"/>
    </xf>
    <xf numFmtId="2" fontId="106" fillId="0" borderId="81" xfId="0" applyNumberFormat="1" applyFont="1" applyBorder="1" applyAlignment="1">
      <alignment horizontal="left"/>
    </xf>
    <xf numFmtId="2" fontId="106" fillId="0" borderId="82" xfId="0" applyNumberFormat="1" applyFont="1" applyBorder="1" applyAlignment="1">
      <alignment horizontal="left"/>
    </xf>
    <xf numFmtId="1" fontId="106" fillId="0" borderId="82" xfId="0" applyNumberFormat="1" applyFont="1" applyBorder="1" applyAlignment="1">
      <alignment horizontal="left"/>
    </xf>
    <xf numFmtId="1" fontId="106" fillId="0" borderId="81" xfId="0" applyNumberFormat="1" applyFont="1" applyBorder="1" applyAlignment="1">
      <alignment horizontal="left"/>
    </xf>
    <xf numFmtId="1" fontId="106" fillId="0" borderId="80" xfId="0" applyNumberFormat="1" applyFont="1" applyBorder="1" applyAlignment="1">
      <alignment horizontal="left"/>
    </xf>
    <xf numFmtId="2" fontId="106" fillId="0" borderId="85" xfId="0" applyNumberFormat="1" applyFont="1" applyBorder="1" applyAlignment="1">
      <alignment horizontal="left"/>
    </xf>
    <xf numFmtId="2" fontId="106" fillId="0" borderId="88" xfId="0" applyNumberFormat="1" applyFont="1" applyBorder="1" applyAlignment="1">
      <alignment horizontal="left"/>
    </xf>
    <xf numFmtId="2" fontId="106" fillId="0" borderId="84" xfId="0" applyNumberFormat="1" applyFont="1" applyBorder="1" applyAlignment="1">
      <alignment horizontal="left"/>
    </xf>
    <xf numFmtId="2" fontId="106" fillId="0" borderId="86" xfId="0" applyNumberFormat="1" applyFont="1" applyBorder="1" applyAlignment="1">
      <alignment horizontal="left"/>
    </xf>
    <xf numFmtId="1" fontId="108" fillId="0" borderId="72" xfId="0" applyNumberFormat="1" applyFont="1" applyBorder="1" applyAlignment="1">
      <alignment horizontal="justify" vertical="justify" wrapText="1"/>
    </xf>
    <xf numFmtId="1" fontId="104" fillId="0" borderId="0" xfId="0" applyNumberFormat="1" applyFont="1" applyAlignment="1">
      <alignment horizontal="justify" vertical="justify" wrapText="1"/>
    </xf>
    <xf numFmtId="0" fontId="103" fillId="0" borderId="82" xfId="0" applyFont="1" applyBorder="1" applyAlignment="1">
      <alignment horizontal="left"/>
    </xf>
    <xf numFmtId="0" fontId="103" fillId="0" borderId="84" xfId="0" applyFont="1" applyBorder="1" applyAlignment="1">
      <alignment horizontal="left"/>
    </xf>
    <xf numFmtId="0" fontId="106" fillId="0" borderId="0" xfId="0" applyFont="1" applyAlignment="1">
      <alignment/>
    </xf>
    <xf numFmtId="0" fontId="106" fillId="0" borderId="84" xfId="0" applyFont="1" applyBorder="1" applyAlignment="1">
      <alignment/>
    </xf>
    <xf numFmtId="0" fontId="101" fillId="0" borderId="62" xfId="0" applyFont="1" applyBorder="1" applyAlignment="1">
      <alignment horizontal="left"/>
    </xf>
    <xf numFmtId="0" fontId="104" fillId="0" borderId="66" xfId="0" applyFont="1" applyBorder="1" applyAlignment="1">
      <alignment/>
    </xf>
    <xf numFmtId="0" fontId="104" fillId="0" borderId="22" xfId="0" applyFont="1" applyBorder="1" applyAlignment="1">
      <alignment/>
    </xf>
    <xf numFmtId="0" fontId="104" fillId="0" borderId="23" xfId="0" applyFont="1" applyBorder="1" applyAlignment="1">
      <alignment/>
    </xf>
    <xf numFmtId="0" fontId="104" fillId="0" borderId="70" xfId="0" applyFont="1" applyBorder="1" applyAlignment="1">
      <alignment/>
    </xf>
    <xf numFmtId="0" fontId="104" fillId="0" borderId="62" xfId="0" applyFont="1" applyBorder="1" applyAlignment="1">
      <alignment/>
    </xf>
    <xf numFmtId="0" fontId="102" fillId="0" borderId="66" xfId="0" applyFont="1" applyBorder="1" applyAlignment="1">
      <alignment horizontal="left"/>
    </xf>
    <xf numFmtId="0" fontId="102" fillId="0" borderId="23" xfId="0" applyFont="1" applyBorder="1" applyAlignment="1">
      <alignment horizontal="left"/>
    </xf>
    <xf numFmtId="0" fontId="102" fillId="0" borderId="67" xfId="0" applyFont="1" applyBorder="1" applyAlignment="1">
      <alignment horizontal="left"/>
    </xf>
    <xf numFmtId="0" fontId="102" fillId="0" borderId="62" xfId="0" applyFont="1" applyBorder="1" applyAlignment="1">
      <alignment horizontal="left"/>
    </xf>
    <xf numFmtId="0" fontId="102" fillId="0" borderId="0" xfId="0" applyFont="1" applyAlignment="1">
      <alignment horizontal="left"/>
    </xf>
    <xf numFmtId="0" fontId="103" fillId="0" borderId="61" xfId="0" applyFont="1" applyBorder="1" applyAlignment="1">
      <alignment horizontal="left"/>
    </xf>
    <xf numFmtId="0" fontId="103" fillId="0" borderId="81" xfId="0" applyFont="1" applyBorder="1" applyAlignment="1">
      <alignment horizontal="left"/>
    </xf>
    <xf numFmtId="0" fontId="103" fillId="0" borderId="27" xfId="0" applyFont="1" applyBorder="1" applyAlignment="1">
      <alignment horizontal="left"/>
    </xf>
    <xf numFmtId="3" fontId="103" fillId="0" borderId="28" xfId="0" applyNumberFormat="1" applyFont="1" applyBorder="1" applyAlignment="1">
      <alignment horizontal="left"/>
    </xf>
    <xf numFmtId="0" fontId="103" fillId="0" borderId="45" xfId="0" applyFont="1" applyBorder="1" applyAlignment="1">
      <alignment horizontal="left"/>
    </xf>
    <xf numFmtId="0" fontId="85" fillId="0" borderId="62" xfId="0" applyFont="1" applyBorder="1" applyAlignment="1">
      <alignment horizontal="left"/>
    </xf>
    <xf numFmtId="0" fontId="79" fillId="0" borderId="45" xfId="0" applyFont="1" applyBorder="1" applyAlignment="1">
      <alignment horizontal="left"/>
    </xf>
    <xf numFmtId="0" fontId="81" fillId="0" borderId="36" xfId="0" applyFont="1" applyBorder="1" applyAlignment="1">
      <alignment/>
    </xf>
    <xf numFmtId="0" fontId="84" fillId="0" borderId="71" xfId="0" applyFont="1" applyBorder="1" applyAlignment="1">
      <alignment horizontal="left"/>
    </xf>
    <xf numFmtId="0" fontId="84" fillId="0" borderId="45" xfId="0" applyFont="1" applyBorder="1" applyAlignment="1">
      <alignment horizontal="left"/>
    </xf>
    <xf numFmtId="164" fontId="79" fillId="0" borderId="72" xfId="0" applyNumberFormat="1" applyFont="1" applyBorder="1" applyAlignment="1">
      <alignment horizontal="left"/>
    </xf>
    <xf numFmtId="0" fontId="81" fillId="0" borderId="42" xfId="0" applyFont="1" applyBorder="1" applyAlignment="1">
      <alignment/>
    </xf>
    <xf numFmtId="0" fontId="101" fillId="0" borderId="61" xfId="0" applyFont="1" applyBorder="1" applyAlignment="1">
      <alignment horizontal="left"/>
    </xf>
    <xf numFmtId="0" fontId="102" fillId="0" borderId="83" xfId="0" applyFont="1" applyBorder="1" applyAlignment="1">
      <alignment horizontal="left" vertical="justify" wrapText="1"/>
    </xf>
    <xf numFmtId="0" fontId="101" fillId="0" borderId="80" xfId="0" applyFont="1" applyFill="1" applyBorder="1" applyAlignment="1">
      <alignment horizontal="left" vertical="justify" wrapText="1"/>
    </xf>
    <xf numFmtId="0" fontId="101" fillId="0" borderId="80" xfId="0" applyFont="1" applyBorder="1" applyAlignment="1">
      <alignment horizontal="left" vertical="justify" wrapText="1"/>
    </xf>
    <xf numFmtId="0" fontId="101" fillId="0" borderId="83" xfId="0" applyFont="1" applyBorder="1" applyAlignment="1">
      <alignment horizontal="left" vertical="justify" wrapText="1"/>
    </xf>
    <xf numFmtId="0" fontId="101" fillId="0" borderId="83" xfId="0" applyFont="1" applyFill="1" applyBorder="1" applyAlignment="1">
      <alignment horizontal="left" vertical="justify" wrapText="1"/>
    </xf>
    <xf numFmtId="0" fontId="102" fillId="0" borderId="0" xfId="0" applyFont="1" applyAlignment="1">
      <alignment horizontal="left" vertical="justify" wrapText="1"/>
    </xf>
    <xf numFmtId="2" fontId="101" fillId="0" borderId="83" xfId="0" applyNumberFormat="1" applyFont="1" applyBorder="1" applyAlignment="1">
      <alignment horizontal="left"/>
    </xf>
    <xf numFmtId="2" fontId="101" fillId="0" borderId="80" xfId="0" applyNumberFormat="1" applyFont="1" applyBorder="1" applyAlignment="1">
      <alignment horizontal="left" vertical="center"/>
    </xf>
    <xf numFmtId="2" fontId="101" fillId="0" borderId="80" xfId="0" applyNumberFormat="1" applyFont="1" applyBorder="1" applyAlignment="1">
      <alignment horizontal="left"/>
    </xf>
    <xf numFmtId="2" fontId="101" fillId="0" borderId="80" xfId="44" applyNumberFormat="1" applyFont="1" applyBorder="1" applyAlignment="1">
      <alignment horizontal="left"/>
    </xf>
    <xf numFmtId="2" fontId="101" fillId="0" borderId="80" xfId="0" applyNumberFormat="1" applyFont="1" applyBorder="1" applyAlignment="1">
      <alignment horizontal="left" wrapText="1"/>
    </xf>
    <xf numFmtId="2" fontId="101" fillId="0" borderId="80" xfId="0" applyNumberFormat="1" applyFont="1" applyFill="1" applyBorder="1" applyAlignment="1">
      <alignment horizontal="left"/>
    </xf>
    <xf numFmtId="2" fontId="101" fillId="0" borderId="83" xfId="42" applyNumberFormat="1" applyFont="1" applyBorder="1" applyAlignment="1">
      <alignment horizontal="left"/>
    </xf>
    <xf numFmtId="2" fontId="101" fillId="0" borderId="82" xfId="0" applyNumberFormat="1" applyFont="1" applyBorder="1" applyAlignment="1">
      <alignment horizontal="left"/>
    </xf>
    <xf numFmtId="2" fontId="102" fillId="0" borderId="0" xfId="0" applyNumberFormat="1" applyFont="1" applyAlignment="1">
      <alignment horizontal="left"/>
    </xf>
    <xf numFmtId="0" fontId="103" fillId="0" borderId="30" xfId="0" applyFont="1" applyBorder="1" applyAlignment="1">
      <alignment horizontal="left"/>
    </xf>
    <xf numFmtId="0" fontId="103" fillId="0" borderId="31" xfId="0" applyFont="1" applyBorder="1" applyAlignment="1">
      <alignment horizontal="left"/>
    </xf>
    <xf numFmtId="0" fontId="103" fillId="0" borderId="34" xfId="0" applyFont="1" applyBorder="1" applyAlignment="1">
      <alignment horizontal="left"/>
    </xf>
    <xf numFmtId="2" fontId="75" fillId="0" borderId="27" xfId="0" applyNumberFormat="1" applyFont="1" applyBorder="1" applyAlignment="1">
      <alignment horizontal="left"/>
    </xf>
    <xf numFmtId="0" fontId="75" fillId="0" borderId="53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01" fillId="0" borderId="56" xfId="0" applyFont="1" applyBorder="1" applyAlignment="1">
      <alignment horizontal="center" vertical="justify" wrapText="1"/>
    </xf>
    <xf numFmtId="0" fontId="101" fillId="0" borderId="75" xfId="0" applyFont="1" applyBorder="1" applyAlignment="1">
      <alignment horizontal="center" vertical="justify" wrapText="1"/>
    </xf>
    <xf numFmtId="0" fontId="101" fillId="0" borderId="61" xfId="0" applyFont="1" applyBorder="1" applyAlignment="1">
      <alignment horizontal="center" vertical="justify" wrapText="1"/>
    </xf>
    <xf numFmtId="0" fontId="101" fillId="0" borderId="83" xfId="0" applyFont="1" applyBorder="1" applyAlignment="1">
      <alignment horizontal="center" vertical="justify" wrapText="1"/>
    </xf>
    <xf numFmtId="0" fontId="101" fillId="0" borderId="85" xfId="0" applyFont="1" applyBorder="1" applyAlignment="1">
      <alignment horizontal="center" vertical="justify" wrapText="1"/>
    </xf>
    <xf numFmtId="0" fontId="101" fillId="0" borderId="81" xfId="0" applyFont="1" applyBorder="1" applyAlignment="1">
      <alignment horizontal="center" vertical="justify" wrapText="1"/>
    </xf>
    <xf numFmtId="0" fontId="101" fillId="0" borderId="82" xfId="0" applyFont="1" applyBorder="1" applyAlignment="1">
      <alignment horizontal="center" vertical="justify" wrapText="1"/>
    </xf>
    <xf numFmtId="0" fontId="101" fillId="0" borderId="84" xfId="0" applyFont="1" applyBorder="1" applyAlignment="1">
      <alignment horizontal="center" vertical="justify" wrapText="1"/>
    </xf>
    <xf numFmtId="0" fontId="102" fillId="0" borderId="0" xfId="0" applyFont="1" applyAlignment="1">
      <alignment horizontal="center" vertical="justify" wrapText="1"/>
    </xf>
    <xf numFmtId="1" fontId="101" fillId="0" borderId="84" xfId="0" applyNumberFormat="1" applyFont="1" applyBorder="1" applyAlignment="1">
      <alignment horizontal="left"/>
    </xf>
    <xf numFmtId="1" fontId="101" fillId="0" borderId="86" xfId="0" applyNumberFormat="1" applyFont="1" applyBorder="1" applyAlignment="1">
      <alignment horizontal="left"/>
    </xf>
    <xf numFmtId="1" fontId="101" fillId="0" borderId="88" xfId="0" applyNumberFormat="1" applyFont="1" applyBorder="1" applyAlignment="1">
      <alignment horizontal="left"/>
    </xf>
    <xf numFmtId="1" fontId="101" fillId="0" borderId="82" xfId="0" applyNumberFormat="1" applyFont="1" applyBorder="1" applyAlignment="1">
      <alignment horizontal="left"/>
    </xf>
    <xf numFmtId="1" fontId="101" fillId="0" borderId="81" xfId="0" applyNumberFormat="1" applyFont="1" applyBorder="1" applyAlignment="1">
      <alignment horizontal="left"/>
    </xf>
    <xf numFmtId="1" fontId="104" fillId="0" borderId="0" xfId="0" applyNumberFormat="1" applyFont="1" applyAlignment="1">
      <alignment/>
    </xf>
    <xf numFmtId="1" fontId="103" fillId="0" borderId="56" xfId="0" applyNumberFormat="1" applyFont="1" applyBorder="1" applyAlignment="1">
      <alignment horizontal="left"/>
    </xf>
    <xf numFmtId="1" fontId="103" fillId="0" borderId="57" xfId="0" applyNumberFormat="1" applyFont="1" applyBorder="1" applyAlignment="1">
      <alignment horizontal="left"/>
    </xf>
    <xf numFmtId="1" fontId="103" fillId="0" borderId="59" xfId="0" applyNumberFormat="1" applyFont="1" applyBorder="1" applyAlignment="1">
      <alignment horizontal="left"/>
    </xf>
    <xf numFmtId="1" fontId="86" fillId="0" borderId="85" xfId="0" applyNumberFormat="1" applyFont="1" applyBorder="1" applyAlignment="1">
      <alignment horizontal="left"/>
    </xf>
    <xf numFmtId="1" fontId="86" fillId="0" borderId="86" xfId="0" applyNumberFormat="1" applyFont="1" applyBorder="1" applyAlignment="1">
      <alignment horizontal="left"/>
    </xf>
    <xf numFmtId="1" fontId="86" fillId="0" borderId="88" xfId="0" applyNumberFormat="1" applyFont="1" applyBorder="1" applyAlignment="1">
      <alignment horizontal="left"/>
    </xf>
    <xf numFmtId="1" fontId="86" fillId="0" borderId="56" xfId="0" applyNumberFormat="1" applyFont="1" applyBorder="1" applyAlignment="1">
      <alignment horizontal="left"/>
    </xf>
    <xf numFmtId="1" fontId="86" fillId="0" borderId="57" xfId="0" applyNumberFormat="1" applyFont="1" applyBorder="1" applyAlignment="1">
      <alignment horizontal="left"/>
    </xf>
    <xf numFmtId="1" fontId="86" fillId="0" borderId="59" xfId="0" applyNumberFormat="1" applyFont="1" applyBorder="1" applyAlignment="1">
      <alignment horizontal="left"/>
    </xf>
    <xf numFmtId="1" fontId="106" fillId="0" borderId="85" xfId="0" applyNumberFormat="1" applyFont="1" applyBorder="1" applyAlignment="1">
      <alignment horizontal="left"/>
    </xf>
    <xf numFmtId="1" fontId="106" fillId="0" borderId="86" xfId="0" applyNumberFormat="1" applyFont="1" applyBorder="1" applyAlignment="1">
      <alignment horizontal="left"/>
    </xf>
    <xf numFmtId="1" fontId="106" fillId="0" borderId="88" xfId="0" applyNumberFormat="1" applyFont="1" applyBorder="1" applyAlignment="1">
      <alignment horizontal="left"/>
    </xf>
    <xf numFmtId="1" fontId="103" fillId="0" borderId="60" xfId="0" applyNumberFormat="1" applyFont="1" applyBorder="1" applyAlignment="1">
      <alignment horizontal="left" vertical="center"/>
    </xf>
    <xf numFmtId="1" fontId="103" fillId="0" borderId="88" xfId="0" applyNumberFormat="1" applyFont="1" applyBorder="1" applyAlignment="1">
      <alignment horizontal="left" vertical="center"/>
    </xf>
    <xf numFmtId="1" fontId="86" fillId="0" borderId="51" xfId="0" applyNumberFormat="1" applyFont="1" applyBorder="1" applyAlignment="1">
      <alignment horizontal="left"/>
    </xf>
    <xf numFmtId="1" fontId="86" fillId="0" borderId="78" xfId="0" applyNumberFormat="1" applyFont="1" applyBorder="1" applyAlignment="1">
      <alignment horizontal="left"/>
    </xf>
    <xf numFmtId="1" fontId="86" fillId="0" borderId="50" xfId="0" applyNumberFormat="1" applyFont="1" applyBorder="1" applyAlignment="1">
      <alignment horizontal="left"/>
    </xf>
    <xf numFmtId="1" fontId="86" fillId="0" borderId="84" xfId="0" applyNumberFormat="1" applyFont="1" applyBorder="1" applyAlignment="1">
      <alignment horizontal="left"/>
    </xf>
    <xf numFmtId="1" fontId="106" fillId="0" borderId="84" xfId="0" applyNumberFormat="1" applyFont="1" applyBorder="1" applyAlignment="1">
      <alignment horizontal="left"/>
    </xf>
    <xf numFmtId="1" fontId="103" fillId="0" borderId="57" xfId="0" applyNumberFormat="1" applyFont="1" applyBorder="1" applyAlignment="1">
      <alignment horizontal="left" vertical="center"/>
    </xf>
    <xf numFmtId="1" fontId="103" fillId="0" borderId="59" xfId="0" applyNumberFormat="1" applyFont="1" applyBorder="1" applyAlignment="1">
      <alignment horizontal="left" vertical="center"/>
    </xf>
    <xf numFmtId="0" fontId="86" fillId="0" borderId="85" xfId="0" applyFont="1" applyBorder="1" applyAlignment="1">
      <alignment horizontal="left"/>
    </xf>
    <xf numFmtId="0" fontId="86" fillId="0" borderId="86" xfId="0" applyFont="1" applyBorder="1" applyAlignment="1">
      <alignment horizontal="left"/>
    </xf>
    <xf numFmtId="2" fontId="86" fillId="0" borderId="77" xfId="0" applyNumberFormat="1" applyFont="1" applyBorder="1" applyAlignment="1">
      <alignment horizontal="left"/>
    </xf>
    <xf numFmtId="2" fontId="86" fillId="0" borderId="51" xfId="0" applyNumberFormat="1" applyFont="1" applyBorder="1" applyAlignment="1">
      <alignment horizontal="left"/>
    </xf>
    <xf numFmtId="2" fontId="106" fillId="0" borderId="40" xfId="0" applyNumberFormat="1" applyFont="1" applyBorder="1" applyAlignment="1">
      <alignment horizontal="left"/>
    </xf>
    <xf numFmtId="2" fontId="106" fillId="0" borderId="53" xfId="0" applyNumberFormat="1" applyFont="1" applyBorder="1" applyAlignment="1">
      <alignment horizontal="left"/>
    </xf>
    <xf numFmtId="1" fontId="106" fillId="0" borderId="54" xfId="0" applyNumberFormat="1" applyFont="1" applyBorder="1" applyAlignment="1">
      <alignment horizontal="left"/>
    </xf>
    <xf numFmtId="0" fontId="103" fillId="0" borderId="80" xfId="0" applyFont="1" applyBorder="1" applyAlignment="1">
      <alignment horizontal="left"/>
    </xf>
    <xf numFmtId="0" fontId="85" fillId="0" borderId="37" xfId="0" applyFont="1" applyBorder="1" applyAlignment="1">
      <alignment horizontal="left"/>
    </xf>
    <xf numFmtId="0" fontId="85" fillId="0" borderId="17" xfId="0" applyFont="1" applyBorder="1" applyAlignment="1">
      <alignment horizontal="left"/>
    </xf>
    <xf numFmtId="0" fontId="86" fillId="0" borderId="84" xfId="0" applyFont="1" applyBorder="1" applyAlignment="1">
      <alignment horizontal="left"/>
    </xf>
    <xf numFmtId="2" fontId="86" fillId="0" borderId="50" xfId="0" applyNumberFormat="1" applyFont="1" applyBorder="1" applyAlignment="1">
      <alignment horizontal="left"/>
    </xf>
    <xf numFmtId="2" fontId="106" fillId="0" borderId="41" xfId="0" applyNumberFormat="1" applyFont="1" applyBorder="1" applyAlignment="1">
      <alignment horizontal="left"/>
    </xf>
    <xf numFmtId="2" fontId="103" fillId="0" borderId="56" xfId="0" applyNumberFormat="1" applyFont="1" applyBorder="1" applyAlignment="1">
      <alignment horizontal="left" vertical="center"/>
    </xf>
    <xf numFmtId="2" fontId="103" fillId="0" borderId="57" xfId="0" applyNumberFormat="1" applyFont="1" applyBorder="1" applyAlignment="1">
      <alignment horizontal="left" vertical="center"/>
    </xf>
    <xf numFmtId="2" fontId="103" fillId="0" borderId="59" xfId="0" applyNumberFormat="1" applyFont="1" applyBorder="1" applyAlignment="1">
      <alignment horizontal="left" vertical="center"/>
    </xf>
    <xf numFmtId="0" fontId="86" fillId="0" borderId="88" xfId="0" applyFont="1" applyBorder="1" applyAlignment="1">
      <alignment horizontal="left"/>
    </xf>
    <xf numFmtId="2" fontId="86" fillId="0" borderId="78" xfId="0" applyNumberFormat="1" applyFont="1" applyBorder="1" applyAlignment="1">
      <alignment horizontal="left"/>
    </xf>
    <xf numFmtId="2" fontId="106" fillId="0" borderId="54" xfId="0" applyNumberFormat="1" applyFont="1" applyBorder="1" applyAlignment="1">
      <alignment horizontal="left"/>
    </xf>
    <xf numFmtId="1" fontId="85" fillId="0" borderId="76" xfId="0" applyNumberFormat="1" applyFont="1" applyFill="1" applyBorder="1" applyAlignment="1">
      <alignment horizontal="center" vertical="justify" wrapText="1"/>
    </xf>
    <xf numFmtId="1" fontId="103" fillId="0" borderId="83" xfId="0" applyNumberFormat="1" applyFont="1" applyBorder="1" applyAlignment="1">
      <alignment horizontal="center" vertical="justify" wrapText="1"/>
    </xf>
    <xf numFmtId="1" fontId="103" fillId="0" borderId="82" xfId="0" applyNumberFormat="1" applyFont="1" applyBorder="1" applyAlignment="1">
      <alignment horizontal="center" vertical="justify" wrapText="1"/>
    </xf>
    <xf numFmtId="1" fontId="85" fillId="0" borderId="61" xfId="0" applyNumberFormat="1" applyFont="1" applyFill="1" applyBorder="1" applyAlignment="1">
      <alignment horizontal="center" vertical="center" wrapText="1"/>
    </xf>
    <xf numFmtId="0" fontId="86" fillId="0" borderId="20" xfId="0" applyFont="1" applyBorder="1" applyAlignment="1">
      <alignment horizontal="left"/>
    </xf>
    <xf numFmtId="0" fontId="86" fillId="0" borderId="31" xfId="0" applyFont="1" applyBorder="1" applyAlignment="1">
      <alignment horizontal="left"/>
    </xf>
    <xf numFmtId="0" fontId="86" fillId="0" borderId="32" xfId="0" applyFont="1" applyBorder="1" applyAlignment="1">
      <alignment horizontal="left"/>
    </xf>
    <xf numFmtId="0" fontId="86" fillId="0" borderId="36" xfId="0" applyFont="1" applyBorder="1" applyAlignment="1">
      <alignment horizontal="left"/>
    </xf>
    <xf numFmtId="0" fontId="86" fillId="0" borderId="33" xfId="0" applyFont="1" applyBorder="1" applyAlignment="1">
      <alignment horizontal="left"/>
    </xf>
    <xf numFmtId="0" fontId="106" fillId="0" borderId="86" xfId="0" applyFont="1" applyBorder="1" applyAlignment="1">
      <alignment horizontal="left"/>
    </xf>
    <xf numFmtId="0" fontId="106" fillId="0" borderId="88" xfId="0" applyFont="1" applyBorder="1" applyAlignment="1">
      <alignment horizontal="left"/>
    </xf>
    <xf numFmtId="0" fontId="106" fillId="0" borderId="82" xfId="0" applyFont="1" applyBorder="1" applyAlignment="1">
      <alignment horizontal="left"/>
    </xf>
    <xf numFmtId="0" fontId="106" fillId="0" borderId="84" xfId="0" applyFont="1" applyBorder="1" applyAlignment="1">
      <alignment horizontal="left"/>
    </xf>
    <xf numFmtId="0" fontId="106" fillId="0" borderId="10" xfId="0" applyFont="1" applyBorder="1" applyAlignment="1">
      <alignment horizontal="left"/>
    </xf>
    <xf numFmtId="3" fontId="78" fillId="0" borderId="29" xfId="0" applyNumberFormat="1" applyFont="1" applyBorder="1" applyAlignment="1">
      <alignment horizontal="left"/>
    </xf>
    <xf numFmtId="3" fontId="78" fillId="0" borderId="36" xfId="0" applyNumberFormat="1" applyFont="1" applyBorder="1" applyAlignment="1">
      <alignment horizontal="left"/>
    </xf>
    <xf numFmtId="0" fontId="103" fillId="0" borderId="24" xfId="0" applyFont="1" applyBorder="1" applyAlignment="1">
      <alignment horizontal="left" vertical="justify" wrapText="1"/>
    </xf>
    <xf numFmtId="0" fontId="103" fillId="0" borderId="13" xfId="0" applyFont="1" applyBorder="1" applyAlignment="1">
      <alignment horizontal="left" vertical="justify" wrapText="1"/>
    </xf>
    <xf numFmtId="1" fontId="103" fillId="0" borderId="23" xfId="0" applyNumberFormat="1" applyFont="1" applyBorder="1" applyAlignment="1">
      <alignment horizontal="left" vertical="justify" wrapText="1"/>
    </xf>
    <xf numFmtId="0" fontId="103" fillId="0" borderId="22" xfId="0" applyFont="1" applyBorder="1" applyAlignment="1">
      <alignment horizontal="left" vertical="justify" wrapText="1"/>
    </xf>
    <xf numFmtId="1" fontId="103" fillId="0" borderId="23" xfId="0" applyNumberFormat="1" applyFont="1" applyFill="1" applyBorder="1" applyAlignment="1">
      <alignment horizontal="left" vertical="justify" wrapText="1"/>
    </xf>
    <xf numFmtId="1" fontId="82" fillId="0" borderId="18" xfId="0" applyNumberFormat="1" applyFont="1" applyBorder="1" applyAlignment="1">
      <alignment horizontal="left" vertical="center"/>
    </xf>
    <xf numFmtId="1" fontId="82" fillId="0" borderId="20" xfId="0" applyNumberFormat="1" applyFont="1" applyBorder="1" applyAlignment="1">
      <alignment horizontal="left"/>
    </xf>
    <xf numFmtId="1" fontId="82" fillId="0" borderId="16" xfId="0" applyNumberFormat="1" applyFont="1" applyBorder="1" applyAlignment="1">
      <alignment horizontal="left"/>
    </xf>
    <xf numFmtId="1" fontId="82" fillId="0" borderId="19" xfId="0" applyNumberFormat="1" applyFont="1" applyBorder="1" applyAlignment="1">
      <alignment horizontal="left"/>
    </xf>
    <xf numFmtId="1" fontId="82" fillId="0" borderId="19" xfId="0" applyNumberFormat="1" applyFont="1" applyFill="1" applyBorder="1" applyAlignment="1">
      <alignment horizontal="left"/>
    </xf>
    <xf numFmtId="1" fontId="82" fillId="0" borderId="18" xfId="0" applyNumberFormat="1" applyFont="1" applyBorder="1" applyAlignment="1">
      <alignment horizontal="left"/>
    </xf>
    <xf numFmtId="1" fontId="82" fillId="0" borderId="20" xfId="44" applyNumberFormat="1" applyFont="1" applyBorder="1" applyAlignment="1">
      <alignment horizontal="left"/>
    </xf>
    <xf numFmtId="1" fontId="82" fillId="0" borderId="16" xfId="44" applyNumberFormat="1" applyFont="1" applyBorder="1" applyAlignment="1">
      <alignment horizontal="left"/>
    </xf>
    <xf numFmtId="1" fontId="82" fillId="0" borderId="19" xfId="44" applyNumberFormat="1" applyFont="1" applyBorder="1" applyAlignment="1">
      <alignment horizontal="left"/>
    </xf>
    <xf numFmtId="1" fontId="82" fillId="0" borderId="20" xfId="0" applyNumberFormat="1" applyFont="1" applyBorder="1" applyAlignment="1">
      <alignment horizontal="left" wrapText="1"/>
    </xf>
    <xf numFmtId="0" fontId="89" fillId="0" borderId="20" xfId="0" applyFont="1" applyBorder="1" applyAlignment="1">
      <alignment horizontal="left"/>
    </xf>
    <xf numFmtId="1" fontId="82" fillId="0" borderId="20" xfId="0" applyNumberFormat="1" applyFont="1" applyFill="1" applyBorder="1" applyAlignment="1">
      <alignment horizontal="left"/>
    </xf>
    <xf numFmtId="1" fontId="82" fillId="0" borderId="16" xfId="0" applyNumberFormat="1" applyFont="1" applyFill="1" applyBorder="1" applyAlignment="1">
      <alignment horizontal="left"/>
    </xf>
    <xf numFmtId="1" fontId="82" fillId="0" borderId="20" xfId="42" applyNumberFormat="1" applyFont="1" applyBorder="1" applyAlignment="1">
      <alignment horizontal="left"/>
    </xf>
    <xf numFmtId="1" fontId="82" fillId="0" borderId="16" xfId="42" applyNumberFormat="1" applyFont="1" applyBorder="1" applyAlignment="1">
      <alignment horizontal="left"/>
    </xf>
    <xf numFmtId="1" fontId="82" fillId="0" borderId="19" xfId="42" applyNumberFormat="1" applyFont="1" applyBorder="1" applyAlignment="1">
      <alignment horizontal="left"/>
    </xf>
    <xf numFmtId="1" fontId="83" fillId="0" borderId="16" xfId="0" applyNumberFormat="1" applyFont="1" applyBorder="1" applyAlignment="1">
      <alignment horizontal="left"/>
    </xf>
    <xf numFmtId="1" fontId="83" fillId="0" borderId="19" xfId="0" applyNumberFormat="1" applyFont="1" applyBorder="1" applyAlignment="1">
      <alignment horizontal="left"/>
    </xf>
    <xf numFmtId="1" fontId="83" fillId="0" borderId="18" xfId="0" applyNumberFormat="1" applyFont="1" applyBorder="1" applyAlignment="1">
      <alignment horizontal="left"/>
    </xf>
    <xf numFmtId="1" fontId="81" fillId="0" borderId="19" xfId="0" applyNumberFormat="1" applyFont="1" applyBorder="1" applyAlignment="1">
      <alignment horizontal="left"/>
    </xf>
    <xf numFmtId="1" fontId="82" fillId="0" borderId="15" xfId="44" applyNumberFormat="1" applyFont="1" applyBorder="1" applyAlignment="1">
      <alignment horizontal="left"/>
    </xf>
    <xf numFmtId="1" fontId="82" fillId="0" borderId="10" xfId="44" applyNumberFormat="1" applyFont="1" applyBorder="1" applyAlignment="1">
      <alignment horizontal="left"/>
    </xf>
    <xf numFmtId="1" fontId="82" fillId="0" borderId="15" xfId="42" applyNumberFormat="1" applyFont="1" applyBorder="1" applyAlignment="1">
      <alignment horizontal="left"/>
    </xf>
    <xf numFmtId="1" fontId="81" fillId="0" borderId="11" xfId="0" applyNumberFormat="1" applyFont="1" applyBorder="1" applyAlignment="1">
      <alignment horizontal="left"/>
    </xf>
    <xf numFmtId="1" fontId="81" fillId="0" borderId="10" xfId="0" applyNumberFormat="1" applyFont="1" applyFill="1" applyBorder="1" applyAlignment="1">
      <alignment horizontal="left"/>
    </xf>
    <xf numFmtId="1" fontId="81" fillId="0" borderId="24" xfId="0" applyNumberFormat="1" applyFont="1" applyBorder="1" applyAlignment="1">
      <alignment horizontal="left"/>
    </xf>
    <xf numFmtId="1" fontId="81" fillId="0" borderId="13" xfId="0" applyNumberFormat="1" applyFont="1" applyBorder="1" applyAlignment="1">
      <alignment horizontal="left"/>
    </xf>
    <xf numFmtId="1" fontId="81" fillId="0" borderId="23" xfId="0" applyNumberFormat="1" applyFont="1" applyBorder="1" applyAlignment="1">
      <alignment horizontal="left"/>
    </xf>
    <xf numFmtId="1" fontId="81" fillId="0" borderId="22" xfId="0" applyNumberFormat="1" applyFont="1" applyBorder="1" applyAlignment="1">
      <alignment horizontal="left"/>
    </xf>
    <xf numFmtId="1" fontId="81" fillId="0" borderId="23" xfId="0" applyNumberFormat="1" applyFont="1" applyFill="1" applyBorder="1" applyAlignment="1">
      <alignment horizontal="left"/>
    </xf>
    <xf numFmtId="0" fontId="110" fillId="0" borderId="45" xfId="0" applyFont="1" applyBorder="1" applyAlignment="1">
      <alignment horizontal="left"/>
    </xf>
    <xf numFmtId="1" fontId="104" fillId="0" borderId="11" xfId="0" applyNumberFormat="1" applyFont="1" applyBorder="1" applyAlignment="1">
      <alignment horizontal="left"/>
    </xf>
    <xf numFmtId="1" fontId="104" fillId="0" borderId="12" xfId="0" applyNumberFormat="1" applyFont="1" applyBorder="1" applyAlignment="1">
      <alignment horizontal="left"/>
    </xf>
    <xf numFmtId="1" fontId="104" fillId="0" borderId="10" xfId="0" applyNumberFormat="1" applyFont="1" applyBorder="1" applyAlignment="1">
      <alignment horizontal="left"/>
    </xf>
    <xf numFmtId="1" fontId="104" fillId="0" borderId="15" xfId="0" applyNumberFormat="1" applyFont="1" applyBorder="1" applyAlignment="1">
      <alignment horizontal="left"/>
    </xf>
    <xf numFmtId="1" fontId="108" fillId="0" borderId="12" xfId="0" applyNumberFormat="1" applyFont="1" applyBorder="1" applyAlignment="1">
      <alignment horizontal="left"/>
    </xf>
    <xf numFmtId="1" fontId="108" fillId="0" borderId="10" xfId="0" applyNumberFormat="1" applyFont="1" applyBorder="1" applyAlignment="1">
      <alignment horizontal="left"/>
    </xf>
    <xf numFmtId="1" fontId="108" fillId="0" borderId="11" xfId="0" applyNumberFormat="1" applyFont="1" applyBorder="1" applyAlignment="1">
      <alignment horizontal="left"/>
    </xf>
    <xf numFmtId="3" fontId="86" fillId="0" borderId="43" xfId="0" applyNumberFormat="1" applyFont="1" applyBorder="1" applyAlignment="1">
      <alignment horizontal="left"/>
    </xf>
    <xf numFmtId="3" fontId="86" fillId="0" borderId="68" xfId="0" applyNumberFormat="1" applyFont="1" applyBorder="1" applyAlignment="1">
      <alignment horizontal="left"/>
    </xf>
    <xf numFmtId="0" fontId="85" fillId="0" borderId="61" xfId="0" applyFont="1" applyBorder="1" applyAlignment="1">
      <alignment horizontal="left" vertical="center" wrapText="1"/>
    </xf>
    <xf numFmtId="1" fontId="85" fillId="0" borderId="35" xfId="0" applyNumberFormat="1" applyFont="1" applyBorder="1" applyAlignment="1">
      <alignment horizontal="left" vertical="center" wrapText="1"/>
    </xf>
    <xf numFmtId="0" fontId="86" fillId="0" borderId="79" xfId="0" applyFont="1" applyBorder="1" applyAlignment="1">
      <alignment horizontal="left"/>
    </xf>
    <xf numFmtId="0" fontId="85" fillId="0" borderId="28" xfId="0" applyFont="1" applyBorder="1" applyAlignment="1">
      <alignment horizontal="left"/>
    </xf>
    <xf numFmtId="0" fontId="103" fillId="0" borderId="28" xfId="0" applyFont="1" applyBorder="1" applyAlignment="1">
      <alignment horizontal="left"/>
    </xf>
    <xf numFmtId="0" fontId="86" fillId="0" borderId="70" xfId="0" applyFont="1" applyBorder="1" applyAlignment="1">
      <alignment horizontal="left"/>
    </xf>
    <xf numFmtId="1" fontId="85" fillId="0" borderId="61" xfId="0" applyNumberFormat="1" applyFont="1" applyBorder="1" applyAlignment="1">
      <alignment horizontal="left" vertical="center" wrapText="1"/>
    </xf>
    <xf numFmtId="0" fontId="103" fillId="0" borderId="26" xfId="0" applyFont="1" applyBorder="1" applyAlignment="1">
      <alignment horizontal="left"/>
    </xf>
    <xf numFmtId="1" fontId="85" fillId="0" borderId="35" xfId="0" applyNumberFormat="1" applyFont="1" applyFill="1" applyBorder="1" applyAlignment="1">
      <alignment horizontal="left" vertical="center" wrapText="1"/>
    </xf>
    <xf numFmtId="1" fontId="85" fillId="0" borderId="83" xfId="0" applyNumberFormat="1" applyFont="1" applyBorder="1" applyAlignment="1">
      <alignment horizontal="left" vertical="center" wrapText="1"/>
    </xf>
    <xf numFmtId="1" fontId="85" fillId="0" borderId="83" xfId="0" applyNumberFormat="1" applyFont="1" applyBorder="1" applyAlignment="1">
      <alignment horizontal="left" vertical="justify" wrapText="1"/>
    </xf>
    <xf numFmtId="0" fontId="87" fillId="0" borderId="83" xfId="0" applyFont="1" applyBorder="1" applyAlignment="1">
      <alignment horizontal="left"/>
    </xf>
    <xf numFmtId="0" fontId="81" fillId="0" borderId="35" xfId="0" applyFont="1" applyBorder="1" applyAlignment="1">
      <alignment/>
    </xf>
    <xf numFmtId="0" fontId="81" fillId="0" borderId="70" xfId="0" applyFont="1" applyBorder="1" applyAlignment="1">
      <alignment/>
    </xf>
    <xf numFmtId="1" fontId="85" fillId="0" borderId="61" xfId="0" applyNumberFormat="1" applyFont="1" applyFill="1" applyBorder="1" applyAlignment="1">
      <alignment horizontal="center" vertical="justify" wrapText="1"/>
    </xf>
    <xf numFmtId="0" fontId="81" fillId="0" borderId="43" xfId="0" applyFont="1" applyBorder="1" applyAlignment="1">
      <alignment/>
    </xf>
    <xf numFmtId="0" fontId="81" fillId="0" borderId="21" xfId="0" applyFont="1" applyBorder="1" applyAlignment="1">
      <alignment/>
    </xf>
    <xf numFmtId="0" fontId="81" fillId="0" borderId="79" xfId="0" applyFont="1" applyBorder="1" applyAlignment="1">
      <alignment/>
    </xf>
    <xf numFmtId="0" fontId="81" fillId="0" borderId="26" xfId="0" applyFont="1" applyBorder="1" applyAlignment="1">
      <alignment/>
    </xf>
    <xf numFmtId="1" fontId="103" fillId="0" borderId="81" xfId="0" applyNumberFormat="1" applyFont="1" applyBorder="1" applyAlignment="1">
      <alignment horizontal="center" vertical="justify" wrapText="1"/>
    </xf>
    <xf numFmtId="2" fontId="76" fillId="0" borderId="14" xfId="42" applyNumberFormat="1" applyFont="1" applyBorder="1" applyAlignment="1">
      <alignment horizontal="left"/>
    </xf>
    <xf numFmtId="2" fontId="75" fillId="0" borderId="28" xfId="42" applyNumberFormat="1" applyFont="1" applyBorder="1" applyAlignment="1">
      <alignment horizontal="left"/>
    </xf>
    <xf numFmtId="2" fontId="76" fillId="0" borderId="67" xfId="42" applyNumberFormat="1" applyFont="1" applyBorder="1" applyAlignment="1">
      <alignment horizontal="left"/>
    </xf>
    <xf numFmtId="2" fontId="75" fillId="0" borderId="43" xfId="0" applyNumberFormat="1" applyFont="1" applyBorder="1" applyAlignment="1">
      <alignment horizontal="left" vertical="center"/>
    </xf>
    <xf numFmtId="2" fontId="93" fillId="0" borderId="43" xfId="0" applyNumberFormat="1" applyFont="1" applyBorder="1" applyAlignment="1">
      <alignment horizontal="left" vertical="center"/>
    </xf>
    <xf numFmtId="2" fontId="93" fillId="0" borderId="40" xfId="0" applyNumberFormat="1" applyFont="1" applyBorder="1" applyAlignment="1">
      <alignment horizontal="left" vertical="center"/>
    </xf>
    <xf numFmtId="2" fontId="93" fillId="0" borderId="68" xfId="0" applyNumberFormat="1" applyFont="1" applyBorder="1" applyAlignment="1">
      <alignment horizontal="left" vertical="center"/>
    </xf>
    <xf numFmtId="164" fontId="84" fillId="0" borderId="17" xfId="0" applyNumberFormat="1" applyFont="1" applyBorder="1" applyAlignment="1">
      <alignment horizontal="left"/>
    </xf>
    <xf numFmtId="0" fontId="84" fillId="0" borderId="17" xfId="0" applyFont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2" fontId="75" fillId="0" borderId="10" xfId="44" applyNumberFormat="1" applyFont="1" applyBorder="1" applyAlignment="1">
      <alignment horizontal="left"/>
    </xf>
    <xf numFmtId="2" fontId="76" fillId="0" borderId="44" xfId="0" applyNumberFormat="1" applyFont="1" applyBorder="1" applyAlignment="1">
      <alignment horizontal="left"/>
    </xf>
    <xf numFmtId="2" fontId="76" fillId="0" borderId="34" xfId="0" applyNumberFormat="1" applyFont="1" applyBorder="1" applyAlignment="1">
      <alignment horizontal="left"/>
    </xf>
    <xf numFmtId="2" fontId="75" fillId="0" borderId="58" xfId="0" applyNumberFormat="1" applyFont="1" applyBorder="1" applyAlignment="1">
      <alignment horizontal="left"/>
    </xf>
    <xf numFmtId="2" fontId="76" fillId="0" borderId="18" xfId="44" applyNumberFormat="1" applyFont="1" applyBorder="1" applyAlignment="1">
      <alignment horizontal="left"/>
    </xf>
    <xf numFmtId="2" fontId="4" fillId="0" borderId="11" xfId="0" applyNumberFormat="1" applyFont="1" applyBorder="1" applyAlignment="1">
      <alignment horizontal="left"/>
    </xf>
    <xf numFmtId="2" fontId="82" fillId="0" borderId="18" xfId="0" applyNumberFormat="1" applyFont="1" applyBorder="1" applyAlignment="1">
      <alignment horizontal="left" wrapText="1"/>
    </xf>
    <xf numFmtId="2" fontId="82" fillId="0" borderId="11" xfId="0" applyNumberFormat="1" applyFont="1" applyBorder="1" applyAlignment="1">
      <alignment horizontal="left" wrapText="1"/>
    </xf>
    <xf numFmtId="2" fontId="82" fillId="0" borderId="30" xfId="0" applyNumberFormat="1" applyFont="1" applyBorder="1" applyAlignment="1">
      <alignment horizontal="left" wrapText="1"/>
    </xf>
    <xf numFmtId="2" fontId="82" fillId="0" borderId="56" xfId="0" applyNumberFormat="1" applyFont="1" applyBorder="1" applyAlignment="1">
      <alignment horizontal="left" wrapText="1"/>
    </xf>
    <xf numFmtId="164" fontId="78" fillId="0" borderId="44" xfId="0" applyNumberFormat="1" applyFont="1" applyBorder="1" applyAlignment="1">
      <alignment horizontal="left"/>
    </xf>
    <xf numFmtId="3" fontId="78" fillId="0" borderId="14" xfId="0" applyNumberFormat="1" applyFont="1" applyBorder="1" applyAlignment="1">
      <alignment horizontal="left"/>
    </xf>
    <xf numFmtId="164" fontId="78" fillId="0" borderId="14" xfId="0" applyNumberFormat="1" applyFont="1" applyBorder="1" applyAlignment="1">
      <alignment horizontal="left"/>
    </xf>
    <xf numFmtId="0" fontId="78" fillId="0" borderId="14" xfId="0" applyFont="1" applyBorder="1" applyAlignment="1">
      <alignment horizontal="left"/>
    </xf>
    <xf numFmtId="164" fontId="78" fillId="0" borderId="34" xfId="0" applyNumberFormat="1" applyFont="1" applyBorder="1" applyAlignment="1">
      <alignment horizontal="left"/>
    </xf>
    <xf numFmtId="0" fontId="86" fillId="0" borderId="58" xfId="0" applyFont="1" applyBorder="1" applyAlignment="1">
      <alignment horizontal="left"/>
    </xf>
    <xf numFmtId="2" fontId="82" fillId="0" borderId="44" xfId="42" applyNumberFormat="1" applyFont="1" applyBorder="1" applyAlignment="1">
      <alignment horizontal="left"/>
    </xf>
    <xf numFmtId="2" fontId="82" fillId="0" borderId="14" xfId="42" applyNumberFormat="1" applyFont="1" applyBorder="1" applyAlignment="1">
      <alignment horizontal="left"/>
    </xf>
    <xf numFmtId="2" fontId="82" fillId="0" borderId="34" xfId="42" applyNumberFormat="1" applyFont="1" applyBorder="1" applyAlignment="1">
      <alignment horizontal="left"/>
    </xf>
    <xf numFmtId="2" fontId="82" fillId="0" borderId="58" xfId="42" applyNumberFormat="1" applyFont="1" applyBorder="1" applyAlignment="1">
      <alignment horizontal="left"/>
    </xf>
    <xf numFmtId="1" fontId="76" fillId="0" borderId="30" xfId="0" applyNumberFormat="1" applyFont="1" applyBorder="1" applyAlignment="1">
      <alignment horizontal="left" vertical="center"/>
    </xf>
    <xf numFmtId="1" fontId="76" fillId="0" borderId="31" xfId="0" applyNumberFormat="1" applyFont="1" applyBorder="1" applyAlignment="1">
      <alignment horizontal="left" vertical="center"/>
    </xf>
    <xf numFmtId="1" fontId="76" fillId="0" borderId="32" xfId="0" applyNumberFormat="1" applyFont="1" applyBorder="1" applyAlignment="1">
      <alignment horizontal="left" vertical="center"/>
    </xf>
    <xf numFmtId="1" fontId="76" fillId="0" borderId="33" xfId="0" applyNumberFormat="1" applyFont="1" applyBorder="1" applyAlignment="1">
      <alignment horizontal="left"/>
    </xf>
    <xf numFmtId="1" fontId="76" fillId="0" borderId="31" xfId="0" applyNumberFormat="1" applyFont="1" applyBorder="1" applyAlignment="1">
      <alignment horizontal="left"/>
    </xf>
    <xf numFmtId="1" fontId="76" fillId="0" borderId="32" xfId="0" applyNumberFormat="1" applyFont="1" applyBorder="1" applyAlignment="1">
      <alignment horizontal="left"/>
    </xf>
    <xf numFmtId="1" fontId="76" fillId="0" borderId="30" xfId="0" applyNumberFormat="1" applyFont="1" applyBorder="1" applyAlignment="1">
      <alignment horizontal="left"/>
    </xf>
    <xf numFmtId="1" fontId="76" fillId="0" borderId="34" xfId="0" applyNumberFormat="1" applyFont="1" applyBorder="1" applyAlignment="1">
      <alignment horizontal="left"/>
    </xf>
    <xf numFmtId="2" fontId="76" fillId="0" borderId="30" xfId="0" applyNumberFormat="1" applyFont="1" applyBorder="1" applyAlignment="1">
      <alignment horizontal="left" wrapText="1"/>
    </xf>
    <xf numFmtId="3" fontId="79" fillId="0" borderId="33" xfId="0" applyNumberFormat="1" applyFont="1" applyBorder="1" applyAlignment="1">
      <alignment horizontal="left"/>
    </xf>
    <xf numFmtId="3" fontId="79" fillId="0" borderId="31" xfId="0" applyNumberFormat="1" applyFont="1" applyBorder="1" applyAlignment="1">
      <alignment horizontal="left"/>
    </xf>
    <xf numFmtId="3" fontId="79" fillId="0" borderId="32" xfId="0" applyNumberFormat="1" applyFont="1" applyBorder="1" applyAlignment="1">
      <alignment horizontal="left"/>
    </xf>
    <xf numFmtId="1" fontId="76" fillId="0" borderId="33" xfId="0" applyNumberFormat="1" applyFont="1" applyFill="1" applyBorder="1" applyAlignment="1">
      <alignment horizontal="left"/>
    </xf>
    <xf numFmtId="1" fontId="76" fillId="0" borderId="31" xfId="0" applyNumberFormat="1" applyFont="1" applyFill="1" applyBorder="1" applyAlignment="1">
      <alignment horizontal="left"/>
    </xf>
    <xf numFmtId="1" fontId="76" fillId="0" borderId="32" xfId="0" applyNumberFormat="1" applyFont="1" applyFill="1" applyBorder="1" applyAlignment="1">
      <alignment horizontal="left"/>
    </xf>
    <xf numFmtId="1" fontId="76" fillId="0" borderId="33" xfId="42" applyNumberFormat="1" applyFont="1" applyBorder="1" applyAlignment="1">
      <alignment horizontal="left"/>
    </xf>
    <xf numFmtId="1" fontId="76" fillId="0" borderId="31" xfId="42" applyNumberFormat="1" applyFont="1" applyBorder="1" applyAlignment="1">
      <alignment horizontal="left"/>
    </xf>
    <xf numFmtId="1" fontId="76" fillId="0" borderId="32" xfId="42" applyNumberFormat="1" applyFont="1" applyBorder="1" applyAlignment="1">
      <alignment horizontal="left"/>
    </xf>
    <xf numFmtId="1" fontId="75" fillId="0" borderId="77" xfId="0" applyNumberFormat="1" applyFont="1" applyBorder="1" applyAlignment="1">
      <alignment horizontal="left"/>
    </xf>
    <xf numFmtId="1" fontId="75" fillId="0" borderId="51" xfId="0" applyNumberFormat="1" applyFont="1" applyBorder="1" applyAlignment="1">
      <alignment horizontal="left"/>
    </xf>
    <xf numFmtId="1" fontId="75" fillId="0" borderId="78" xfId="0" applyNumberFormat="1" applyFont="1" applyBorder="1" applyAlignment="1">
      <alignment horizontal="left"/>
    </xf>
    <xf numFmtId="1" fontId="76" fillId="0" borderId="30" xfId="42" applyNumberFormat="1" applyFont="1" applyBorder="1" applyAlignment="1">
      <alignment horizontal="left"/>
    </xf>
    <xf numFmtId="1" fontId="75" fillId="0" borderId="50" xfId="0" applyNumberFormat="1" applyFont="1" applyBorder="1" applyAlignment="1">
      <alignment horizontal="left"/>
    </xf>
    <xf numFmtId="1" fontId="75" fillId="0" borderId="25" xfId="0" applyNumberFormat="1" applyFont="1" applyBorder="1" applyAlignment="1">
      <alignment horizontal="left"/>
    </xf>
    <xf numFmtId="1" fontId="93" fillId="0" borderId="85" xfId="0" applyNumberFormat="1" applyFont="1" applyBorder="1" applyAlignment="1">
      <alignment horizontal="left" vertical="center"/>
    </xf>
    <xf numFmtId="1" fontId="93" fillId="0" borderId="80" xfId="0" applyNumberFormat="1" applyFont="1" applyBorder="1" applyAlignment="1">
      <alignment horizontal="left" vertical="center"/>
    </xf>
    <xf numFmtId="1" fontId="93" fillId="0" borderId="86" xfId="0" applyNumberFormat="1" applyFont="1" applyBorder="1" applyAlignment="1">
      <alignment horizontal="left" vertical="center"/>
    </xf>
    <xf numFmtId="1" fontId="93" fillId="0" borderId="88" xfId="0" applyNumberFormat="1" applyFont="1" applyBorder="1" applyAlignment="1">
      <alignment horizontal="left" vertical="center"/>
    </xf>
    <xf numFmtId="1" fontId="93" fillId="0" borderId="84" xfId="0" applyNumberFormat="1" applyFont="1" applyBorder="1" applyAlignment="1">
      <alignment horizontal="left" vertical="center"/>
    </xf>
    <xf numFmtId="1" fontId="93" fillId="0" borderId="83" xfId="0" applyNumberFormat="1" applyFont="1" applyBorder="1" applyAlignment="1">
      <alignment horizontal="left" vertical="center"/>
    </xf>
    <xf numFmtId="1" fontId="93" fillId="0" borderId="85" xfId="0" applyNumberFormat="1" applyFont="1" applyBorder="1" applyAlignment="1">
      <alignment horizontal="left"/>
    </xf>
    <xf numFmtId="1" fontId="93" fillId="0" borderId="86" xfId="0" applyNumberFormat="1" applyFont="1" applyBorder="1" applyAlignment="1">
      <alignment horizontal="left"/>
    </xf>
    <xf numFmtId="1" fontId="93" fillId="0" borderId="88" xfId="0" applyNumberFormat="1" applyFont="1" applyBorder="1" applyAlignment="1">
      <alignment horizontal="left"/>
    </xf>
    <xf numFmtId="1" fontId="94" fillId="0" borderId="85" xfId="42" applyNumberFormat="1" applyFont="1" applyBorder="1" applyAlignment="1">
      <alignment horizontal="left"/>
    </xf>
    <xf numFmtId="1" fontId="94" fillId="0" borderId="84" xfId="42" applyNumberFormat="1" applyFont="1" applyBorder="1" applyAlignment="1">
      <alignment horizontal="left"/>
    </xf>
    <xf numFmtId="1" fontId="94" fillId="0" borderId="82" xfId="42" applyNumberFormat="1" applyFont="1" applyBorder="1" applyAlignment="1">
      <alignment horizontal="left"/>
    </xf>
    <xf numFmtId="1" fontId="93" fillId="0" borderId="84" xfId="0" applyNumberFormat="1" applyFont="1" applyBorder="1" applyAlignment="1">
      <alignment horizontal="left"/>
    </xf>
    <xf numFmtId="1" fontId="93" fillId="0" borderId="82" xfId="0" applyNumberFormat="1" applyFont="1" applyBorder="1" applyAlignment="1">
      <alignment horizontal="left"/>
    </xf>
    <xf numFmtId="1" fontId="76" fillId="0" borderId="65" xfId="0" applyNumberFormat="1" applyFont="1" applyBorder="1" applyAlignment="1">
      <alignment horizontal="center" vertical="justify" wrapText="1"/>
    </xf>
    <xf numFmtId="1" fontId="84" fillId="0" borderId="15" xfId="0" applyNumberFormat="1" applyFont="1" applyBorder="1" applyAlignment="1">
      <alignment horizontal="center" vertical="justify" wrapText="1"/>
    </xf>
    <xf numFmtId="1" fontId="76" fillId="0" borderId="15" xfId="0" applyNumberFormat="1" applyFont="1" applyBorder="1" applyAlignment="1">
      <alignment horizontal="center" vertical="justify" wrapText="1"/>
    </xf>
    <xf numFmtId="1" fontId="76" fillId="0" borderId="22" xfId="0" applyNumberFormat="1" applyFont="1" applyBorder="1" applyAlignment="1">
      <alignment horizontal="center" vertical="justify" wrapText="1"/>
    </xf>
    <xf numFmtId="0" fontId="76" fillId="0" borderId="27" xfId="0" applyFont="1" applyBorder="1" applyAlignment="1">
      <alignment horizontal="center"/>
    </xf>
    <xf numFmtId="1" fontId="79" fillId="0" borderId="42" xfId="0" applyNumberFormat="1" applyFont="1" applyFill="1" applyBorder="1" applyAlignment="1">
      <alignment horizontal="left" vertical="top" wrapText="1"/>
    </xf>
    <xf numFmtId="1" fontId="75" fillId="0" borderId="30" xfId="0" applyNumberFormat="1" applyFont="1" applyBorder="1" applyAlignment="1">
      <alignment horizontal="left" vertical="center"/>
    </xf>
    <xf numFmtId="1" fontId="75" fillId="0" borderId="34" xfId="0" applyNumberFormat="1" applyFont="1" applyBorder="1" applyAlignment="1">
      <alignment horizontal="left" vertical="center"/>
    </xf>
    <xf numFmtId="1" fontId="75" fillId="0" borderId="35" xfId="0" applyNumberFormat="1" applyFont="1" applyBorder="1" applyAlignment="1">
      <alignment horizontal="left" vertical="center"/>
    </xf>
    <xf numFmtId="1" fontId="75" fillId="0" borderId="36" xfId="0" applyNumberFormat="1" applyFont="1" applyBorder="1" applyAlignment="1">
      <alignment horizontal="left" vertical="center"/>
    </xf>
    <xf numFmtId="1" fontId="75" fillId="0" borderId="33" xfId="0" applyNumberFormat="1" applyFont="1" applyBorder="1" applyAlignment="1">
      <alignment horizontal="left"/>
    </xf>
    <xf numFmtId="1" fontId="3" fillId="0" borderId="31" xfId="0" applyNumberFormat="1" applyFont="1" applyBorder="1" applyAlignment="1">
      <alignment horizontal="left"/>
    </xf>
    <xf numFmtId="1" fontId="3" fillId="0" borderId="32" xfId="0" applyNumberFormat="1" applyFont="1" applyBorder="1" applyAlignment="1">
      <alignment horizontal="left"/>
    </xf>
    <xf numFmtId="1" fontId="76" fillId="0" borderId="33" xfId="44" applyNumberFormat="1" applyFont="1" applyBorder="1" applyAlignment="1">
      <alignment horizontal="left"/>
    </xf>
    <xf numFmtId="1" fontId="6" fillId="0" borderId="31" xfId="44" applyNumberFormat="1" applyFont="1" applyBorder="1" applyAlignment="1">
      <alignment horizontal="left"/>
    </xf>
    <xf numFmtId="1" fontId="6" fillId="0" borderId="32" xfId="44" applyNumberFormat="1" applyFont="1" applyBorder="1" applyAlignment="1">
      <alignment horizontal="left"/>
    </xf>
    <xf numFmtId="1" fontId="3" fillId="0" borderId="33" xfId="0" applyNumberFormat="1" applyFont="1" applyBorder="1" applyAlignment="1">
      <alignment horizontal="left"/>
    </xf>
    <xf numFmtId="1" fontId="76" fillId="0" borderId="33" xfId="0" applyNumberFormat="1" applyFont="1" applyBorder="1" applyAlignment="1">
      <alignment horizontal="left" wrapText="1"/>
    </xf>
    <xf numFmtId="1" fontId="6" fillId="0" borderId="31" xfId="0" applyNumberFormat="1" applyFont="1" applyBorder="1" applyAlignment="1">
      <alignment horizontal="left"/>
    </xf>
    <xf numFmtId="1" fontId="6" fillId="0" borderId="32" xfId="0" applyNumberFormat="1" applyFont="1" applyBorder="1" applyAlignment="1">
      <alignment horizontal="left"/>
    </xf>
    <xf numFmtId="1" fontId="76" fillId="0" borderId="30" xfId="0" applyNumberFormat="1" applyFont="1" applyFill="1" applyBorder="1" applyAlignment="1">
      <alignment horizontal="left" vertical="top" wrapText="1"/>
    </xf>
    <xf numFmtId="1" fontId="76" fillId="0" borderId="31" xfId="0" applyNumberFormat="1" applyFont="1" applyFill="1" applyBorder="1" applyAlignment="1">
      <alignment horizontal="left" vertical="top" wrapText="1"/>
    </xf>
    <xf numFmtId="1" fontId="76" fillId="0" borderId="32" xfId="0" applyNumberFormat="1" applyFont="1" applyFill="1" applyBorder="1" applyAlignment="1">
      <alignment horizontal="left" vertical="top" wrapText="1"/>
    </xf>
    <xf numFmtId="1" fontId="76" fillId="0" borderId="35" xfId="0" applyNumberFormat="1" applyFont="1" applyFill="1" applyBorder="1" applyAlignment="1">
      <alignment horizontal="left"/>
    </xf>
    <xf numFmtId="1" fontId="6" fillId="0" borderId="34" xfId="0" applyNumberFormat="1" applyFont="1" applyFill="1" applyBorder="1" applyAlignment="1">
      <alignment horizontal="left"/>
    </xf>
    <xf numFmtId="1" fontId="6" fillId="0" borderId="32" xfId="0" applyNumberFormat="1" applyFont="1" applyFill="1" applyBorder="1" applyAlignment="1">
      <alignment horizontal="left"/>
    </xf>
    <xf numFmtId="1" fontId="6" fillId="0" borderId="31" xfId="42" applyNumberFormat="1" applyFont="1" applyBorder="1" applyAlignment="1">
      <alignment horizontal="left"/>
    </xf>
    <xf numFmtId="1" fontId="6" fillId="0" borderId="32" xfId="42" applyNumberFormat="1" applyFont="1" applyBorder="1" applyAlignment="1">
      <alignment horizontal="left"/>
    </xf>
    <xf numFmtId="1" fontId="75" fillId="0" borderId="33" xfId="0" applyNumberFormat="1" applyFont="1" applyBorder="1" applyAlignment="1">
      <alignment horizontal="left" vertical="center"/>
    </xf>
    <xf numFmtId="1" fontId="75" fillId="0" borderId="42" xfId="0" applyNumberFormat="1" applyFont="1" applyBorder="1" applyAlignment="1">
      <alignment horizontal="left" vertical="center"/>
    </xf>
    <xf numFmtId="1" fontId="75" fillId="0" borderId="30" xfId="0" applyNumberFormat="1" applyFont="1" applyBorder="1" applyAlignment="1">
      <alignment horizontal="left"/>
    </xf>
    <xf numFmtId="1" fontId="85" fillId="0" borderId="76" xfId="0" applyNumberFormat="1" applyFont="1" applyFill="1" applyBorder="1" applyAlignment="1">
      <alignment horizontal="center" vertical="center" wrapText="1"/>
    </xf>
    <xf numFmtId="0" fontId="111" fillId="0" borderId="45" xfId="0" applyFont="1" applyBorder="1" applyAlignment="1">
      <alignment/>
    </xf>
    <xf numFmtId="2" fontId="83" fillId="0" borderId="29" xfId="44" applyNumberFormat="1" applyFont="1" applyBorder="1" applyAlignment="1">
      <alignment horizontal="right"/>
    </xf>
    <xf numFmtId="2" fontId="83" fillId="0" borderId="29" xfId="0" applyNumberFormat="1" applyFont="1" applyBorder="1" applyAlignment="1">
      <alignment horizontal="right" wrapText="1"/>
    </xf>
    <xf numFmtId="2" fontId="83" fillId="0" borderId="29" xfId="0" applyNumberFormat="1" applyFont="1" applyFill="1" applyBorder="1" applyAlignment="1">
      <alignment horizontal="right"/>
    </xf>
    <xf numFmtId="2" fontId="83" fillId="0" borderId="29" xfId="42" applyNumberFormat="1" applyFont="1" applyBorder="1" applyAlignment="1">
      <alignment horizontal="right"/>
    </xf>
    <xf numFmtId="0" fontId="111" fillId="0" borderId="0" xfId="0" applyFont="1" applyAlignment="1">
      <alignment/>
    </xf>
    <xf numFmtId="1" fontId="104" fillId="0" borderId="0" xfId="0" applyNumberFormat="1" applyFont="1" applyAlignment="1">
      <alignment horizontal="left"/>
    </xf>
    <xf numFmtId="1" fontId="82" fillId="0" borderId="18" xfId="44" applyNumberFormat="1" applyFont="1" applyBorder="1" applyAlignment="1">
      <alignment horizontal="left"/>
    </xf>
    <xf numFmtId="1" fontId="82" fillId="0" borderId="18" xfId="0" applyNumberFormat="1" applyFont="1" applyBorder="1" applyAlignment="1">
      <alignment horizontal="left" wrapText="1"/>
    </xf>
    <xf numFmtId="1" fontId="82" fillId="0" borderId="18" xfId="0" applyNumberFormat="1" applyFont="1" applyFill="1" applyBorder="1" applyAlignment="1">
      <alignment horizontal="left"/>
    </xf>
    <xf numFmtId="1" fontId="82" fillId="0" borderId="18" xfId="42" applyNumberFormat="1" applyFont="1" applyBorder="1" applyAlignment="1">
      <alignment horizontal="left"/>
    </xf>
    <xf numFmtId="1" fontId="82" fillId="0" borderId="44" xfId="42" applyNumberFormat="1" applyFont="1" applyBorder="1" applyAlignment="1">
      <alignment horizontal="left"/>
    </xf>
    <xf numFmtId="1" fontId="82" fillId="0" borderId="44" xfId="0" applyNumberFormat="1" applyFont="1" applyBorder="1" applyAlignment="1">
      <alignment horizontal="left"/>
    </xf>
    <xf numFmtId="1" fontId="82" fillId="0" borderId="11" xfId="0" applyNumberFormat="1" applyFont="1" applyBorder="1" applyAlignment="1">
      <alignment horizontal="left" wrapText="1"/>
    </xf>
    <xf numFmtId="1" fontId="82" fillId="0" borderId="11" xfId="0" applyNumberFormat="1" applyFont="1" applyFill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82" fillId="0" borderId="22" xfId="0" applyNumberFormat="1" applyFont="1" applyBorder="1" applyAlignment="1">
      <alignment horizontal="left"/>
    </xf>
    <xf numFmtId="1" fontId="82" fillId="0" borderId="13" xfId="0" applyNumberFormat="1" applyFont="1" applyBorder="1" applyAlignment="1">
      <alignment horizontal="left"/>
    </xf>
    <xf numFmtId="1" fontId="82" fillId="0" borderId="23" xfId="0" applyNumberFormat="1" applyFont="1" applyBorder="1" applyAlignment="1">
      <alignment horizontal="left"/>
    </xf>
    <xf numFmtId="1" fontId="82" fillId="0" borderId="24" xfId="0" applyNumberFormat="1" applyFont="1" applyBorder="1" applyAlignment="1">
      <alignment horizontal="left"/>
    </xf>
    <xf numFmtId="1" fontId="82" fillId="0" borderId="24" xfId="44" applyNumberFormat="1" applyFont="1" applyBorder="1" applyAlignment="1">
      <alignment horizontal="left"/>
    </xf>
    <xf numFmtId="1" fontId="82" fillId="0" borderId="13" xfId="44" applyNumberFormat="1" applyFont="1" applyBorder="1" applyAlignment="1">
      <alignment horizontal="left"/>
    </xf>
    <xf numFmtId="1" fontId="82" fillId="0" borderId="23" xfId="44" applyNumberFormat="1" applyFont="1" applyBorder="1" applyAlignment="1">
      <alignment horizontal="left"/>
    </xf>
    <xf numFmtId="1" fontId="82" fillId="0" borderId="24" xfId="0" applyNumberFormat="1" applyFont="1" applyBorder="1" applyAlignment="1">
      <alignment horizontal="left" wrapText="1"/>
    </xf>
    <xf numFmtId="1" fontId="82" fillId="0" borderId="24" xfId="0" applyNumberFormat="1" applyFont="1" applyFill="1" applyBorder="1" applyAlignment="1">
      <alignment horizontal="left"/>
    </xf>
    <xf numFmtId="1" fontId="82" fillId="0" borderId="13" xfId="0" applyNumberFormat="1" applyFont="1" applyFill="1" applyBorder="1" applyAlignment="1">
      <alignment horizontal="left"/>
    </xf>
    <xf numFmtId="1" fontId="82" fillId="0" borderId="23" xfId="0" applyNumberFormat="1" applyFont="1" applyFill="1" applyBorder="1" applyAlignment="1">
      <alignment horizontal="left"/>
    </xf>
    <xf numFmtId="1" fontId="82" fillId="0" borderId="24" xfId="42" applyNumberFormat="1" applyFont="1" applyBorder="1" applyAlignment="1">
      <alignment horizontal="left"/>
    </xf>
    <xf numFmtId="1" fontId="82" fillId="0" borderId="13" xfId="42" applyNumberFormat="1" applyFont="1" applyBorder="1" applyAlignment="1">
      <alignment horizontal="left"/>
    </xf>
    <xf numFmtId="1" fontId="82" fillId="0" borderId="67" xfId="42" applyNumberFormat="1" applyFont="1" applyBorder="1" applyAlignment="1">
      <alignment horizontal="left"/>
    </xf>
    <xf numFmtId="1" fontId="82" fillId="0" borderId="67" xfId="0" applyNumberFormat="1" applyFont="1" applyBorder="1" applyAlignment="1">
      <alignment horizontal="left"/>
    </xf>
    <xf numFmtId="1" fontId="85" fillId="0" borderId="10" xfId="0" applyNumberFormat="1" applyFont="1" applyBorder="1" applyAlignment="1">
      <alignment horizontal="left" vertical="center"/>
    </xf>
    <xf numFmtId="1" fontId="103" fillId="0" borderId="13" xfId="0" applyNumberFormat="1" applyFont="1" applyBorder="1" applyAlignment="1">
      <alignment horizontal="left"/>
    </xf>
    <xf numFmtId="1" fontId="103" fillId="0" borderId="23" xfId="0" applyNumberFormat="1" applyFont="1" applyBorder="1" applyAlignment="1">
      <alignment horizontal="left"/>
    </xf>
    <xf numFmtId="0" fontId="85" fillId="0" borderId="64" xfId="0" applyFont="1" applyBorder="1" applyAlignment="1">
      <alignment horizontal="left" vertical="center"/>
    </xf>
    <xf numFmtId="1" fontId="103" fillId="0" borderId="67" xfId="0" applyNumberFormat="1" applyFont="1" applyBorder="1" applyAlignment="1">
      <alignment horizontal="left"/>
    </xf>
    <xf numFmtId="1" fontId="86" fillId="0" borderId="45" xfId="0" applyNumberFormat="1" applyFont="1" applyBorder="1" applyAlignment="1">
      <alignment horizontal="left"/>
    </xf>
    <xf numFmtId="1" fontId="103" fillId="0" borderId="72" xfId="0" applyNumberFormat="1" applyFont="1" applyBorder="1" applyAlignment="1">
      <alignment horizontal="left"/>
    </xf>
    <xf numFmtId="0" fontId="86" fillId="0" borderId="11" xfId="0" applyFont="1" applyBorder="1" applyAlignment="1">
      <alignment horizontal="left"/>
    </xf>
    <xf numFmtId="3" fontId="103" fillId="0" borderId="13" xfId="0" applyNumberFormat="1" applyFont="1" applyBorder="1" applyAlignment="1">
      <alignment horizontal="left"/>
    </xf>
    <xf numFmtId="3" fontId="103" fillId="0" borderId="23" xfId="0" applyNumberFormat="1" applyFont="1" applyBorder="1" applyAlignment="1">
      <alignment horizontal="left"/>
    </xf>
    <xf numFmtId="2" fontId="86" fillId="0" borderId="14" xfId="0" applyNumberFormat="1" applyFont="1" applyFill="1" applyBorder="1" applyAlignment="1">
      <alignment horizontal="left"/>
    </xf>
    <xf numFmtId="1" fontId="103" fillId="0" borderId="67" xfId="0" applyNumberFormat="1" applyFont="1" applyFill="1" applyBorder="1" applyAlignment="1">
      <alignment horizontal="left"/>
    </xf>
    <xf numFmtId="2" fontId="86" fillId="0" borderId="11" xfId="42" applyNumberFormat="1" applyFont="1" applyBorder="1" applyAlignment="1">
      <alignment horizontal="left"/>
    </xf>
    <xf numFmtId="2" fontId="86" fillId="0" borderId="14" xfId="42" applyNumberFormat="1" applyFont="1" applyBorder="1" applyAlignment="1">
      <alignment horizontal="left"/>
    </xf>
    <xf numFmtId="1" fontId="103" fillId="0" borderId="67" xfId="42" applyNumberFormat="1" applyFont="1" applyBorder="1" applyAlignment="1">
      <alignment horizontal="left"/>
    </xf>
    <xf numFmtId="1" fontId="102" fillId="0" borderId="10" xfId="0" applyNumberFormat="1" applyFont="1" applyBorder="1" applyAlignment="1">
      <alignment horizontal="left"/>
    </xf>
    <xf numFmtId="3" fontId="84" fillId="0" borderId="15" xfId="0" applyNumberFormat="1" applyFont="1" applyBorder="1" applyAlignment="1">
      <alignment horizontal="left"/>
    </xf>
    <xf numFmtId="3" fontId="84" fillId="0" borderId="12" xfId="0" applyNumberFormat="1" applyFont="1" applyBorder="1" applyAlignment="1">
      <alignment horizontal="left"/>
    </xf>
    <xf numFmtId="3" fontId="84" fillId="0" borderId="10" xfId="0" applyNumberFormat="1" applyFont="1" applyBorder="1" applyAlignment="1">
      <alignment horizontal="left"/>
    </xf>
    <xf numFmtId="1" fontId="76" fillId="0" borderId="22" xfId="0" applyNumberFormat="1" applyFont="1" applyBorder="1" applyAlignment="1">
      <alignment horizontal="left"/>
    </xf>
    <xf numFmtId="1" fontId="103" fillId="0" borderId="67" xfId="0" applyNumberFormat="1" applyFont="1" applyBorder="1" applyAlignment="1">
      <alignment horizontal="left" vertical="justify" wrapText="1"/>
    </xf>
    <xf numFmtId="1" fontId="82" fillId="0" borderId="45" xfId="0" applyNumberFormat="1" applyFont="1" applyBorder="1" applyAlignment="1">
      <alignment horizontal="left" vertical="center"/>
    </xf>
    <xf numFmtId="1" fontId="81" fillId="0" borderId="14" xfId="0" applyNumberFormat="1" applyFont="1" applyBorder="1" applyAlignment="1">
      <alignment horizontal="left"/>
    </xf>
    <xf numFmtId="1" fontId="104" fillId="0" borderId="14" xfId="0" applyNumberFormat="1" applyFont="1" applyBorder="1" applyAlignment="1">
      <alignment horizontal="left"/>
    </xf>
    <xf numFmtId="1" fontId="81" fillId="0" borderId="67" xfId="0" applyNumberFormat="1" applyFont="1" applyBorder="1" applyAlignment="1">
      <alignment horizontal="left"/>
    </xf>
    <xf numFmtId="1" fontId="82" fillId="0" borderId="27" xfId="0" applyNumberFormat="1" applyFont="1" applyBorder="1" applyAlignment="1">
      <alignment horizontal="left" vertical="center"/>
    </xf>
    <xf numFmtId="1" fontId="81" fillId="0" borderId="0" xfId="0" applyNumberFormat="1" applyFont="1" applyAlignment="1">
      <alignment horizontal="center"/>
    </xf>
    <xf numFmtId="0" fontId="83" fillId="0" borderId="74" xfId="0" applyFont="1" applyBorder="1" applyAlignment="1">
      <alignment horizontal="center" vertical="center"/>
    </xf>
    <xf numFmtId="1" fontId="75" fillId="0" borderId="0" xfId="0" applyNumberFormat="1" applyFont="1" applyFill="1" applyBorder="1" applyAlignment="1">
      <alignment horizontal="left"/>
    </xf>
    <xf numFmtId="1" fontId="85" fillId="0" borderId="76" xfId="0" applyNumberFormat="1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/>
    </xf>
    <xf numFmtId="2" fontId="80" fillId="0" borderId="0" xfId="0" applyNumberFormat="1" applyFont="1" applyBorder="1" applyAlignment="1">
      <alignment/>
    </xf>
    <xf numFmtId="2" fontId="101" fillId="0" borderId="81" xfId="0" applyNumberFormat="1" applyFont="1" applyBorder="1" applyAlignment="1">
      <alignment horizontal="center" vertical="justify" wrapText="1"/>
    </xf>
    <xf numFmtId="2" fontId="75" fillId="0" borderId="69" xfId="0" applyNumberFormat="1" applyFont="1" applyBorder="1" applyAlignment="1">
      <alignment horizontal="center" vertical="center"/>
    </xf>
    <xf numFmtId="2" fontId="76" fillId="0" borderId="0" xfId="0" applyNumberFormat="1" applyFont="1" applyAlignment="1">
      <alignment horizontal="center"/>
    </xf>
    <xf numFmtId="0" fontId="78" fillId="0" borderId="46" xfId="0" applyFont="1" applyBorder="1" applyAlignment="1">
      <alignment horizontal="left"/>
    </xf>
    <xf numFmtId="0" fontId="81" fillId="0" borderId="46" xfId="0" applyFont="1" applyBorder="1" applyAlignment="1">
      <alignment/>
    </xf>
    <xf numFmtId="2" fontId="82" fillId="0" borderId="42" xfId="0" applyNumberFormat="1" applyFont="1" applyBorder="1" applyAlignment="1">
      <alignment vertical="center"/>
    </xf>
    <xf numFmtId="2" fontId="82" fillId="0" borderId="36" xfId="0" applyNumberFormat="1" applyFont="1" applyBorder="1" applyAlignment="1">
      <alignment horizontal="right"/>
    </xf>
    <xf numFmtId="2" fontId="82" fillId="0" borderId="42" xfId="0" applyNumberFormat="1" applyFont="1" applyBorder="1" applyAlignment="1">
      <alignment horizontal="right"/>
    </xf>
    <xf numFmtId="2" fontId="76" fillId="0" borderId="36" xfId="0" applyNumberFormat="1" applyFont="1" applyBorder="1" applyAlignment="1">
      <alignment horizontal="right"/>
    </xf>
    <xf numFmtId="2" fontId="86" fillId="0" borderId="36" xfId="0" applyNumberFormat="1" applyFont="1" applyBorder="1" applyAlignment="1">
      <alignment horizontal="left"/>
    </xf>
    <xf numFmtId="2" fontId="82" fillId="0" borderId="36" xfId="42" applyNumberFormat="1" applyFont="1" applyBorder="1" applyAlignment="1">
      <alignment horizontal="right"/>
    </xf>
    <xf numFmtId="2" fontId="82" fillId="0" borderId="36" xfId="0" applyNumberFormat="1" applyFont="1" applyBorder="1" applyAlignment="1">
      <alignment horizontal="right" wrapText="1"/>
    </xf>
    <xf numFmtId="3" fontId="78" fillId="0" borderId="36" xfId="0" applyNumberFormat="1" applyFont="1" applyBorder="1" applyAlignment="1">
      <alignment horizontal="right"/>
    </xf>
    <xf numFmtId="2" fontId="82" fillId="0" borderId="36" xfId="0" applyNumberFormat="1" applyFont="1" applyFill="1" applyBorder="1" applyAlignment="1">
      <alignment horizontal="right"/>
    </xf>
    <xf numFmtId="2" fontId="83" fillId="0" borderId="36" xfId="0" applyNumberFormat="1" applyFont="1" applyBorder="1" applyAlignment="1">
      <alignment horizontal="right"/>
    </xf>
    <xf numFmtId="0" fontId="87" fillId="0" borderId="80" xfId="0" applyFont="1" applyBorder="1" applyAlignment="1">
      <alignment horizontal="left"/>
    </xf>
    <xf numFmtId="0" fontId="111" fillId="0" borderId="80" xfId="0" applyFont="1" applyBorder="1" applyAlignment="1">
      <alignment/>
    </xf>
    <xf numFmtId="2" fontId="83" fillId="0" borderId="83" xfId="0" applyNumberFormat="1" applyFont="1" applyBorder="1" applyAlignment="1">
      <alignment vertical="center"/>
    </xf>
    <xf numFmtId="2" fontId="83" fillId="0" borderId="82" xfId="0" applyNumberFormat="1" applyFont="1" applyBorder="1" applyAlignment="1">
      <alignment horizontal="right"/>
    </xf>
    <xf numFmtId="2" fontId="83" fillId="0" borderId="83" xfId="0" applyNumberFormat="1" applyFont="1" applyBorder="1" applyAlignment="1">
      <alignment horizontal="right"/>
    </xf>
    <xf numFmtId="2" fontId="75" fillId="0" borderId="82" xfId="0" applyNumberFormat="1" applyFont="1" applyBorder="1" applyAlignment="1">
      <alignment horizontal="right"/>
    </xf>
    <xf numFmtId="2" fontId="85" fillId="0" borderId="82" xfId="0" applyNumberFormat="1" applyFont="1" applyBorder="1" applyAlignment="1">
      <alignment horizontal="left"/>
    </xf>
    <xf numFmtId="2" fontId="83" fillId="0" borderId="82" xfId="42" applyNumberFormat="1" applyFont="1" applyBorder="1" applyAlignment="1">
      <alignment horizontal="right"/>
    </xf>
    <xf numFmtId="2" fontId="83" fillId="0" borderId="82" xfId="0" applyNumberFormat="1" applyFont="1" applyBorder="1" applyAlignment="1">
      <alignment horizontal="right" wrapText="1"/>
    </xf>
    <xf numFmtId="3" fontId="87" fillId="0" borderId="82" xfId="0" applyNumberFormat="1" applyFont="1" applyBorder="1" applyAlignment="1">
      <alignment horizontal="right"/>
    </xf>
    <xf numFmtId="2" fontId="83" fillId="0" borderId="82" xfId="0" applyNumberFormat="1" applyFont="1" applyFill="1" applyBorder="1" applyAlignment="1">
      <alignment horizontal="right"/>
    </xf>
    <xf numFmtId="0" fontId="108" fillId="0" borderId="80" xfId="0" applyFont="1" applyBorder="1" applyAlignment="1">
      <alignment horizontal="center" vertical="center"/>
    </xf>
    <xf numFmtId="2" fontId="76" fillId="0" borderId="64" xfId="0" applyNumberFormat="1" applyFont="1" applyBorder="1" applyAlignment="1">
      <alignment horizontal="left"/>
    </xf>
    <xf numFmtId="1" fontId="75" fillId="0" borderId="67" xfId="0" applyNumberFormat="1" applyFont="1" applyBorder="1" applyAlignment="1">
      <alignment horizontal="left"/>
    </xf>
    <xf numFmtId="1" fontId="83" fillId="0" borderId="18" xfId="0" applyNumberFormat="1" applyFont="1" applyBorder="1" applyAlignment="1">
      <alignment horizontal="left" vertical="center"/>
    </xf>
    <xf numFmtId="1" fontId="83" fillId="0" borderId="16" xfId="0" applyNumberFormat="1" applyFont="1" applyBorder="1" applyAlignment="1">
      <alignment horizontal="left" vertical="center"/>
    </xf>
    <xf numFmtId="1" fontId="83" fillId="0" borderId="19" xfId="0" applyNumberFormat="1" applyFont="1" applyBorder="1" applyAlignment="1">
      <alignment horizontal="left" vertical="center"/>
    </xf>
    <xf numFmtId="1" fontId="83" fillId="0" borderId="20" xfId="0" applyNumberFormat="1" applyFont="1" applyBorder="1" applyAlignment="1">
      <alignment horizontal="left" vertical="center"/>
    </xf>
    <xf numFmtId="1" fontId="83" fillId="0" borderId="44" xfId="0" applyNumberFormat="1" applyFont="1" applyBorder="1" applyAlignment="1">
      <alignment horizontal="left" vertical="center"/>
    </xf>
    <xf numFmtId="1" fontId="83" fillId="0" borderId="73" xfId="0" applyNumberFormat="1" applyFont="1" applyBorder="1" applyAlignment="1">
      <alignment horizontal="left" vertical="center"/>
    </xf>
    <xf numFmtId="1" fontId="83" fillId="0" borderId="43" xfId="0" applyNumberFormat="1" applyFont="1" applyBorder="1" applyAlignment="1">
      <alignment horizontal="left" vertical="center"/>
    </xf>
    <xf numFmtId="0" fontId="103" fillId="0" borderId="24" xfId="0" applyFont="1" applyBorder="1" applyAlignment="1">
      <alignment horizontal="left"/>
    </xf>
    <xf numFmtId="0" fontId="103" fillId="0" borderId="13" xfId="0" applyFont="1" applyBorder="1" applyAlignment="1">
      <alignment horizontal="left"/>
    </xf>
    <xf numFmtId="0" fontId="103" fillId="0" borderId="23" xfId="0" applyFont="1" applyBorder="1" applyAlignment="1">
      <alignment horizontal="left"/>
    </xf>
    <xf numFmtId="1" fontId="112" fillId="0" borderId="20" xfId="0" applyNumberFormat="1" applyFont="1" applyBorder="1" applyAlignment="1">
      <alignment horizontal="left"/>
    </xf>
    <xf numFmtId="1" fontId="112" fillId="0" borderId="16" xfId="0" applyNumberFormat="1" applyFont="1" applyBorder="1" applyAlignment="1">
      <alignment horizontal="left"/>
    </xf>
    <xf numFmtId="1" fontId="112" fillId="0" borderId="19" xfId="0" applyNumberFormat="1" applyFont="1" applyBorder="1" applyAlignment="1">
      <alignment horizontal="left"/>
    </xf>
    <xf numFmtId="1" fontId="112" fillId="0" borderId="15" xfId="0" applyNumberFormat="1" applyFont="1" applyBorder="1" applyAlignment="1">
      <alignment horizontal="left"/>
    </xf>
    <xf numFmtId="1" fontId="112" fillId="0" borderId="12" xfId="0" applyNumberFormat="1" applyFont="1" applyBorder="1" applyAlignment="1">
      <alignment horizontal="left"/>
    </xf>
    <xf numFmtId="1" fontId="112" fillId="0" borderId="10" xfId="0" applyNumberFormat="1" applyFont="1" applyBorder="1" applyAlignment="1">
      <alignment horizontal="left"/>
    </xf>
    <xf numFmtId="1" fontId="82" fillId="0" borderId="0" xfId="0" applyNumberFormat="1" applyFont="1" applyBorder="1" applyAlignment="1">
      <alignment horizontal="left"/>
    </xf>
    <xf numFmtId="1" fontId="82" fillId="0" borderId="25" xfId="0" applyNumberFormat="1" applyFont="1" applyBorder="1" applyAlignment="1">
      <alignment horizontal="left"/>
    </xf>
    <xf numFmtId="1" fontId="112" fillId="0" borderId="33" xfId="0" applyNumberFormat="1" applyFont="1" applyBorder="1" applyAlignment="1">
      <alignment horizontal="left"/>
    </xf>
    <xf numFmtId="1" fontId="112" fillId="0" borderId="31" xfId="0" applyNumberFormat="1" applyFont="1" applyBorder="1" applyAlignment="1">
      <alignment horizontal="left"/>
    </xf>
    <xf numFmtId="1" fontId="112" fillId="0" borderId="32" xfId="0" applyNumberFormat="1" applyFont="1" applyBorder="1" applyAlignment="1">
      <alignment horizontal="left"/>
    </xf>
    <xf numFmtId="1" fontId="83" fillId="0" borderId="10" xfId="0" applyNumberFormat="1" applyFont="1" applyFill="1" applyBorder="1" applyAlignment="1">
      <alignment horizontal="left"/>
    </xf>
    <xf numFmtId="1" fontId="83" fillId="0" borderId="11" xfId="42" applyNumberFormat="1" applyFont="1" applyBorder="1" applyAlignment="1">
      <alignment horizontal="left"/>
    </xf>
    <xf numFmtId="1" fontId="83" fillId="0" borderId="12" xfId="42" applyNumberFormat="1" applyFont="1" applyBorder="1" applyAlignment="1">
      <alignment horizontal="left"/>
    </xf>
    <xf numFmtId="1" fontId="83" fillId="0" borderId="10" xfId="42" applyNumberFormat="1" applyFont="1" applyBorder="1" applyAlignment="1">
      <alignment horizontal="left"/>
    </xf>
    <xf numFmtId="1" fontId="83" fillId="0" borderId="11" xfId="44" applyNumberFormat="1" applyFont="1" applyBorder="1" applyAlignment="1">
      <alignment horizontal="left"/>
    </xf>
    <xf numFmtId="1" fontId="83" fillId="0" borderId="12" xfId="44" applyNumberFormat="1" applyFont="1" applyBorder="1" applyAlignment="1">
      <alignment horizontal="left"/>
    </xf>
    <xf numFmtId="1" fontId="111" fillId="0" borderId="0" xfId="0" applyNumberFormat="1" applyFont="1" applyAlignment="1">
      <alignment horizontal="left"/>
    </xf>
    <xf numFmtId="1" fontId="7" fillId="0" borderId="10" xfId="0" applyNumberFormat="1" applyFont="1" applyBorder="1" applyAlignment="1">
      <alignment horizontal="left"/>
    </xf>
    <xf numFmtId="1" fontId="7" fillId="0" borderId="33" xfId="0" applyNumberFormat="1" applyFont="1" applyBorder="1" applyAlignment="1">
      <alignment horizontal="left"/>
    </xf>
    <xf numFmtId="1" fontId="7" fillId="0" borderId="31" xfId="0" applyNumberFormat="1" applyFont="1" applyBorder="1" applyAlignment="1">
      <alignment horizontal="left"/>
    </xf>
    <xf numFmtId="1" fontId="7" fillId="0" borderId="32" xfId="0" applyNumberFormat="1" applyFont="1" applyBorder="1" applyAlignment="1">
      <alignment horizontal="left"/>
    </xf>
    <xf numFmtId="1" fontId="108" fillId="0" borderId="80" xfId="0" applyNumberFormat="1" applyFont="1" applyFill="1" applyBorder="1" applyAlignment="1">
      <alignment horizontal="left"/>
    </xf>
    <xf numFmtId="1" fontId="87" fillId="0" borderId="71" xfId="0" applyNumberFormat="1" applyFont="1" applyBorder="1" applyAlignment="1">
      <alignment horizontal="left"/>
    </xf>
    <xf numFmtId="1" fontId="83" fillId="0" borderId="10" xfId="44" applyNumberFormat="1" applyFont="1" applyBorder="1" applyAlignment="1">
      <alignment horizontal="left"/>
    </xf>
    <xf numFmtId="0" fontId="113" fillId="0" borderId="45" xfId="0" applyFont="1" applyBorder="1" applyAlignment="1">
      <alignment horizontal="left"/>
    </xf>
    <xf numFmtId="1" fontId="83" fillId="0" borderId="20" xfId="0" applyNumberFormat="1" applyFont="1" applyBorder="1" applyAlignment="1">
      <alignment horizontal="left"/>
    </xf>
    <xf numFmtId="1" fontId="83" fillId="0" borderId="19" xfId="0" applyNumberFormat="1" applyFont="1" applyFill="1" applyBorder="1" applyAlignment="1">
      <alignment horizontal="left"/>
    </xf>
    <xf numFmtId="1" fontId="83" fillId="0" borderId="16" xfId="44" applyNumberFormat="1" applyFont="1" applyBorder="1" applyAlignment="1">
      <alignment horizontal="left"/>
    </xf>
    <xf numFmtId="1" fontId="83" fillId="0" borderId="19" xfId="44" applyNumberFormat="1" applyFont="1" applyBorder="1" applyAlignment="1">
      <alignment horizontal="left"/>
    </xf>
    <xf numFmtId="1" fontId="84" fillId="0" borderId="16" xfId="0" applyNumberFormat="1" applyFont="1" applyBorder="1" applyAlignment="1">
      <alignment horizontal="left"/>
    </xf>
    <xf numFmtId="1" fontId="84" fillId="0" borderId="19" xfId="0" applyNumberFormat="1" applyFont="1" applyBorder="1" applyAlignment="1">
      <alignment horizontal="left"/>
    </xf>
    <xf numFmtId="1" fontId="83" fillId="0" borderId="16" xfId="0" applyNumberFormat="1" applyFont="1" applyFill="1" applyBorder="1" applyAlignment="1">
      <alignment horizontal="left"/>
    </xf>
    <xf numFmtId="1" fontId="83" fillId="0" borderId="16" xfId="42" applyNumberFormat="1" applyFont="1" applyBorder="1" applyAlignment="1">
      <alignment horizontal="left"/>
    </xf>
    <xf numFmtId="1" fontId="83" fillId="0" borderId="19" xfId="42" applyNumberFormat="1" applyFont="1" applyBorder="1" applyAlignment="1">
      <alignment horizontal="left"/>
    </xf>
    <xf numFmtId="1" fontId="83" fillId="0" borderId="44" xfId="0" applyNumberFormat="1" applyFont="1" applyBorder="1" applyAlignment="1">
      <alignment horizontal="left"/>
    </xf>
    <xf numFmtId="1" fontId="85" fillId="0" borderId="82" xfId="0" applyNumberFormat="1" applyFont="1" applyBorder="1" applyAlignment="1">
      <alignment horizontal="left" vertical="center" wrapText="1"/>
    </xf>
    <xf numFmtId="1" fontId="85" fillId="0" borderId="81" xfId="0" applyNumberFormat="1" applyFont="1" applyBorder="1" applyAlignment="1">
      <alignment horizontal="left" vertical="center" wrapText="1"/>
    </xf>
    <xf numFmtId="3" fontId="103" fillId="0" borderId="43" xfId="0" applyNumberFormat="1" applyFont="1" applyBorder="1" applyAlignment="1">
      <alignment horizontal="left"/>
    </xf>
    <xf numFmtId="1" fontId="84" fillId="0" borderId="15" xfId="0" applyNumberFormat="1" applyFont="1" applyBorder="1" applyAlignment="1">
      <alignment horizontal="left"/>
    </xf>
    <xf numFmtId="1" fontId="84" fillId="0" borderId="12" xfId="0" applyNumberFormat="1" applyFont="1" applyBorder="1" applyAlignment="1">
      <alignment horizontal="left"/>
    </xf>
    <xf numFmtId="1" fontId="84" fillId="0" borderId="10" xfId="0" applyNumberFormat="1" applyFont="1" applyBorder="1" applyAlignment="1">
      <alignment horizontal="left"/>
    </xf>
    <xf numFmtId="1" fontId="75" fillId="0" borderId="0" xfId="0" applyNumberFormat="1" applyFont="1" applyAlignment="1">
      <alignment horizontal="left"/>
    </xf>
    <xf numFmtId="1" fontId="75" fillId="0" borderId="15" xfId="44" applyNumberFormat="1" applyFont="1" applyBorder="1" applyAlignment="1">
      <alignment horizontal="left"/>
    </xf>
    <xf numFmtId="1" fontId="75" fillId="0" borderId="12" xfId="44" applyNumberFormat="1" applyFont="1" applyBorder="1" applyAlignment="1">
      <alignment horizontal="left"/>
    </xf>
    <xf numFmtId="1" fontId="75" fillId="0" borderId="14" xfId="44" applyNumberFormat="1" applyFont="1" applyBorder="1" applyAlignment="1">
      <alignment horizontal="left"/>
    </xf>
    <xf numFmtId="1" fontId="75" fillId="0" borderId="15" xfId="0" applyNumberFormat="1" applyFont="1" applyBorder="1" applyAlignment="1">
      <alignment horizontal="left" wrapText="1"/>
    </xf>
    <xf numFmtId="1" fontId="75" fillId="0" borderId="15" xfId="0" applyNumberFormat="1" applyFont="1" applyFill="1" applyBorder="1" applyAlignment="1">
      <alignment horizontal="left"/>
    </xf>
    <xf numFmtId="1" fontId="75" fillId="0" borderId="12" xfId="0" applyNumberFormat="1" applyFont="1" applyFill="1" applyBorder="1" applyAlignment="1">
      <alignment horizontal="left"/>
    </xf>
    <xf numFmtId="1" fontId="75" fillId="0" borderId="10" xfId="0" applyNumberFormat="1" applyFont="1" applyFill="1" applyBorder="1" applyAlignment="1">
      <alignment horizontal="left"/>
    </xf>
    <xf numFmtId="1" fontId="75" fillId="0" borderId="0" xfId="0" applyNumberFormat="1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1" fontId="75" fillId="0" borderId="44" xfId="0" applyNumberFormat="1" applyFont="1" applyBorder="1" applyAlignment="1">
      <alignment horizontal="left" vertical="center"/>
    </xf>
    <xf numFmtId="1" fontId="84" fillId="0" borderId="20" xfId="0" applyNumberFormat="1" applyFont="1" applyBorder="1" applyAlignment="1">
      <alignment horizontal="left"/>
    </xf>
    <xf numFmtId="1" fontId="75" fillId="0" borderId="21" xfId="0" applyNumberFormat="1" applyFont="1" applyBorder="1" applyAlignment="1">
      <alignment horizontal="left" vertical="center"/>
    </xf>
    <xf numFmtId="0" fontId="93" fillId="0" borderId="24" xfId="0" applyFont="1" applyBorder="1" applyAlignment="1">
      <alignment horizontal="left"/>
    </xf>
    <xf numFmtId="0" fontId="93" fillId="0" borderId="13" xfId="0" applyFont="1" applyBorder="1" applyAlignment="1">
      <alignment horizontal="left"/>
    </xf>
    <xf numFmtId="0" fontId="93" fillId="0" borderId="23" xfId="0" applyFont="1" applyBorder="1" applyAlignment="1">
      <alignment horizontal="left"/>
    </xf>
    <xf numFmtId="0" fontId="93" fillId="0" borderId="22" xfId="0" applyFont="1" applyBorder="1" applyAlignment="1">
      <alignment horizontal="left"/>
    </xf>
    <xf numFmtId="0" fontId="93" fillId="0" borderId="83" xfId="0" applyFont="1" applyBorder="1" applyAlignment="1">
      <alignment horizontal="left"/>
    </xf>
    <xf numFmtId="1" fontId="76" fillId="0" borderId="21" xfId="0" applyNumberFormat="1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" fontId="3" fillId="0" borderId="77" xfId="0" applyNumberFormat="1" applyFont="1" applyBorder="1" applyAlignment="1">
      <alignment horizontal="left" vertical="center"/>
    </xf>
    <xf numFmtId="1" fontId="3" fillId="0" borderId="51" xfId="0" applyNumberFormat="1" applyFont="1" applyBorder="1" applyAlignment="1">
      <alignment horizontal="left" vertical="center"/>
    </xf>
    <xf numFmtId="1" fontId="3" fillId="0" borderId="78" xfId="0" applyNumberFormat="1" applyFont="1" applyBorder="1" applyAlignment="1">
      <alignment horizontal="left" vertical="center"/>
    </xf>
    <xf numFmtId="1" fontId="6" fillId="0" borderId="50" xfId="0" applyNumberFormat="1" applyFont="1" applyBorder="1" applyAlignment="1">
      <alignment horizontal="left"/>
    </xf>
    <xf numFmtId="1" fontId="6" fillId="0" borderId="51" xfId="0" applyNumberFormat="1" applyFont="1" applyBorder="1" applyAlignment="1">
      <alignment horizontal="left"/>
    </xf>
    <xf numFmtId="1" fontId="6" fillId="0" borderId="78" xfId="0" applyNumberFormat="1" applyFont="1" applyBorder="1" applyAlignment="1">
      <alignment horizontal="left"/>
    </xf>
    <xf numFmtId="1" fontId="6" fillId="0" borderId="77" xfId="0" applyNumberFormat="1" applyFont="1" applyBorder="1" applyAlignment="1">
      <alignment horizontal="left"/>
    </xf>
    <xf numFmtId="1" fontId="3" fillId="0" borderId="50" xfId="0" applyNumberFormat="1" applyFont="1" applyBorder="1" applyAlignment="1">
      <alignment horizontal="left"/>
    </xf>
    <xf numFmtId="1" fontId="3" fillId="0" borderId="51" xfId="0" applyNumberFormat="1" applyFont="1" applyBorder="1" applyAlignment="1">
      <alignment horizontal="left"/>
    </xf>
    <xf numFmtId="1" fontId="3" fillId="0" borderId="78" xfId="0" applyNumberFormat="1" applyFont="1" applyBorder="1" applyAlignment="1">
      <alignment horizontal="left"/>
    </xf>
    <xf numFmtId="1" fontId="3" fillId="0" borderId="77" xfId="0" applyNumberFormat="1" applyFont="1" applyBorder="1" applyAlignment="1">
      <alignment horizontal="left"/>
    </xf>
    <xf numFmtId="1" fontId="6" fillId="0" borderId="52" xfId="0" applyNumberFormat="1" applyFont="1" applyBorder="1" applyAlignment="1">
      <alignment horizontal="left"/>
    </xf>
    <xf numFmtId="2" fontId="6" fillId="0" borderId="77" xfId="0" applyNumberFormat="1" applyFont="1" applyBorder="1" applyAlignment="1">
      <alignment horizontal="left" wrapText="1"/>
    </xf>
    <xf numFmtId="2" fontId="6" fillId="0" borderId="51" xfId="0" applyNumberFormat="1" applyFont="1" applyBorder="1" applyAlignment="1">
      <alignment horizontal="left"/>
    </xf>
    <xf numFmtId="2" fontId="6" fillId="0" borderId="78" xfId="0" applyNumberFormat="1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78" xfId="0" applyFont="1" applyBorder="1" applyAlignment="1">
      <alignment horizontal="left"/>
    </xf>
    <xf numFmtId="1" fontId="6" fillId="0" borderId="50" xfId="0" applyNumberFormat="1" applyFont="1" applyFill="1" applyBorder="1" applyAlignment="1">
      <alignment horizontal="left"/>
    </xf>
    <xf numFmtId="1" fontId="6" fillId="0" borderId="51" xfId="0" applyNumberFormat="1" applyFont="1" applyFill="1" applyBorder="1" applyAlignment="1">
      <alignment horizontal="left"/>
    </xf>
    <xf numFmtId="1" fontId="6" fillId="0" borderId="78" xfId="0" applyNumberFormat="1" applyFont="1" applyFill="1" applyBorder="1" applyAlignment="1">
      <alignment horizontal="left"/>
    </xf>
    <xf numFmtId="1" fontId="6" fillId="0" borderId="50" xfId="42" applyNumberFormat="1" applyFont="1" applyBorder="1" applyAlignment="1">
      <alignment horizontal="left"/>
    </xf>
    <xf numFmtId="1" fontId="6" fillId="0" borderId="51" xfId="42" applyNumberFormat="1" applyFont="1" applyBorder="1" applyAlignment="1">
      <alignment horizontal="left"/>
    </xf>
    <xf numFmtId="1" fontId="6" fillId="0" borderId="78" xfId="42" applyNumberFormat="1" applyFont="1" applyBorder="1" applyAlignment="1">
      <alignment horizontal="left"/>
    </xf>
    <xf numFmtId="1" fontId="6" fillId="0" borderId="77" xfId="42" applyNumberFormat="1" applyFont="1" applyBorder="1" applyAlignment="1">
      <alignment horizontal="left"/>
    </xf>
    <xf numFmtId="1" fontId="3" fillId="0" borderId="25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85" fillId="0" borderId="80" xfId="0" applyFont="1" applyBorder="1" applyAlignment="1">
      <alignment horizontal="left"/>
    </xf>
    <xf numFmtId="0" fontId="85" fillId="0" borderId="81" xfId="0" applyFont="1" applyBorder="1" applyAlignment="1">
      <alignment horizontal="left"/>
    </xf>
    <xf numFmtId="0" fontId="85" fillId="0" borderId="82" xfId="0" applyFont="1" applyBorder="1" applyAlignment="1">
      <alignment horizontal="left"/>
    </xf>
    <xf numFmtId="1" fontId="7" fillId="0" borderId="11" xfId="0" applyNumberFormat="1" applyFont="1" applyBorder="1" applyAlignment="1">
      <alignment horizontal="left"/>
    </xf>
    <xf numFmtId="1" fontId="83" fillId="0" borderId="18" xfId="44" applyNumberFormat="1" applyFont="1" applyBorder="1" applyAlignment="1">
      <alignment horizontal="left"/>
    </xf>
    <xf numFmtId="1" fontId="83" fillId="0" borderId="18" xfId="0" applyNumberFormat="1" applyFont="1" applyBorder="1" applyAlignment="1">
      <alignment horizontal="left" wrapText="1"/>
    </xf>
    <xf numFmtId="1" fontId="84" fillId="0" borderId="18" xfId="0" applyNumberFormat="1" applyFont="1" applyBorder="1" applyAlignment="1">
      <alignment horizontal="left"/>
    </xf>
    <xf numFmtId="1" fontId="83" fillId="0" borderId="18" xfId="0" applyNumberFormat="1" applyFont="1" applyFill="1" applyBorder="1" applyAlignment="1">
      <alignment horizontal="left"/>
    </xf>
    <xf numFmtId="1" fontId="83" fillId="0" borderId="18" xfId="42" applyNumberFormat="1" applyFont="1" applyBorder="1" applyAlignment="1">
      <alignment horizontal="left"/>
    </xf>
    <xf numFmtId="1" fontId="83" fillId="0" borderId="44" xfId="42" applyNumberFormat="1" applyFont="1" applyBorder="1" applyAlignment="1">
      <alignment horizontal="left"/>
    </xf>
    <xf numFmtId="1" fontId="83" fillId="0" borderId="11" xfId="0" applyNumberFormat="1" applyFont="1" applyBorder="1" applyAlignment="1">
      <alignment horizontal="left" wrapText="1"/>
    </xf>
    <xf numFmtId="1" fontId="84" fillId="0" borderId="11" xfId="0" applyNumberFormat="1" applyFont="1" applyBorder="1" applyAlignment="1">
      <alignment horizontal="left"/>
    </xf>
    <xf numFmtId="1" fontId="83" fillId="0" borderId="11" xfId="0" applyNumberFormat="1" applyFont="1" applyFill="1" applyBorder="1" applyAlignment="1">
      <alignment horizontal="left"/>
    </xf>
    <xf numFmtId="1" fontId="83" fillId="0" borderId="14" xfId="42" applyNumberFormat="1" applyFont="1" applyBorder="1" applyAlignment="1">
      <alignment horizontal="left"/>
    </xf>
    <xf numFmtId="0" fontId="100" fillId="0" borderId="61" xfId="0" applyFont="1" applyBorder="1" applyAlignment="1">
      <alignment horizontal="left"/>
    </xf>
    <xf numFmtId="0" fontId="101" fillId="0" borderId="85" xfId="0" applyFont="1" applyBorder="1" applyAlignment="1">
      <alignment horizontal="left"/>
    </xf>
    <xf numFmtId="0" fontId="101" fillId="0" borderId="86" xfId="0" applyFont="1" applyBorder="1" applyAlignment="1">
      <alignment horizontal="left"/>
    </xf>
    <xf numFmtId="0" fontId="101" fillId="0" borderId="88" xfId="0" applyFont="1" applyBorder="1" applyAlignment="1">
      <alignment horizontal="left"/>
    </xf>
    <xf numFmtId="1" fontId="75" fillId="0" borderId="31" xfId="0" applyNumberFormat="1" applyFont="1" applyBorder="1" applyAlignment="1">
      <alignment horizontal="left" vertical="center"/>
    </xf>
    <xf numFmtId="1" fontId="75" fillId="0" borderId="32" xfId="0" applyNumberFormat="1" applyFont="1" applyBorder="1" applyAlignment="1">
      <alignment horizontal="left" vertical="center"/>
    </xf>
    <xf numFmtId="1" fontId="93" fillId="0" borderId="87" xfId="0" applyNumberFormat="1" applyFont="1" applyBorder="1" applyAlignment="1">
      <alignment horizontal="left" vertical="center"/>
    </xf>
    <xf numFmtId="1" fontId="93" fillId="0" borderId="82" xfId="0" applyNumberFormat="1" applyFont="1" applyBorder="1" applyAlignment="1">
      <alignment horizontal="left" vertical="center"/>
    </xf>
    <xf numFmtId="1" fontId="75" fillId="0" borderId="31" xfId="0" applyNumberFormat="1" applyFont="1" applyBorder="1" applyAlignment="1">
      <alignment horizontal="left"/>
    </xf>
    <xf numFmtId="1" fontId="75" fillId="0" borderId="32" xfId="0" applyNumberFormat="1" applyFont="1" applyBorder="1" applyAlignment="1">
      <alignment horizontal="left"/>
    </xf>
    <xf numFmtId="1" fontId="75" fillId="0" borderId="33" xfId="44" applyNumberFormat="1" applyFont="1" applyBorder="1" applyAlignment="1">
      <alignment horizontal="left"/>
    </xf>
    <xf numFmtId="1" fontId="75" fillId="0" borderId="31" xfId="44" applyNumberFormat="1" applyFont="1" applyBorder="1" applyAlignment="1">
      <alignment horizontal="left"/>
    </xf>
    <xf numFmtId="1" fontId="75" fillId="0" borderId="34" xfId="44" applyNumberFormat="1" applyFont="1" applyBorder="1" applyAlignment="1">
      <alignment horizontal="left"/>
    </xf>
    <xf numFmtId="1" fontId="75" fillId="0" borderId="33" xfId="0" applyNumberFormat="1" applyFont="1" applyBorder="1" applyAlignment="1">
      <alignment horizontal="left" wrapText="1"/>
    </xf>
    <xf numFmtId="1" fontId="84" fillId="0" borderId="33" xfId="0" applyNumberFormat="1" applyFont="1" applyBorder="1" applyAlignment="1">
      <alignment horizontal="left"/>
    </xf>
    <xf numFmtId="1" fontId="84" fillId="0" borderId="31" xfId="0" applyNumberFormat="1" applyFont="1" applyBorder="1" applyAlignment="1">
      <alignment horizontal="left"/>
    </xf>
    <xf numFmtId="1" fontId="84" fillId="0" borderId="32" xfId="0" applyNumberFormat="1" applyFont="1" applyBorder="1" applyAlignment="1">
      <alignment horizontal="left"/>
    </xf>
    <xf numFmtId="1" fontId="75" fillId="0" borderId="33" xfId="0" applyNumberFormat="1" applyFont="1" applyFill="1" applyBorder="1" applyAlignment="1">
      <alignment horizontal="left"/>
    </xf>
    <xf numFmtId="1" fontId="75" fillId="0" borderId="31" xfId="0" applyNumberFormat="1" applyFont="1" applyFill="1" applyBorder="1" applyAlignment="1">
      <alignment horizontal="left"/>
    </xf>
    <xf numFmtId="1" fontId="75" fillId="0" borderId="32" xfId="0" applyNumberFormat="1" applyFont="1" applyFill="1" applyBorder="1" applyAlignment="1">
      <alignment horizontal="left"/>
    </xf>
    <xf numFmtId="1" fontId="75" fillId="0" borderId="33" xfId="42" applyNumberFormat="1" applyFont="1" applyBorder="1" applyAlignment="1">
      <alignment horizontal="left"/>
    </xf>
    <xf numFmtId="1" fontId="75" fillId="0" borderId="31" xfId="42" applyNumberFormat="1" applyFont="1" applyBorder="1" applyAlignment="1">
      <alignment horizontal="left"/>
    </xf>
    <xf numFmtId="1" fontId="75" fillId="0" borderId="32" xfId="42" applyNumberFormat="1" applyFont="1" applyBorder="1" applyAlignment="1">
      <alignment horizontal="left"/>
    </xf>
    <xf numFmtId="1" fontId="75" fillId="0" borderId="77" xfId="0" applyNumberFormat="1" applyFont="1" applyBorder="1" applyAlignment="1">
      <alignment horizontal="left" vertical="center"/>
    </xf>
    <xf numFmtId="1" fontId="75" fillId="0" borderId="51" xfId="0" applyNumberFormat="1" applyFont="1" applyBorder="1" applyAlignment="1">
      <alignment horizontal="left" vertical="center"/>
    </xf>
    <xf numFmtId="1" fontId="75" fillId="0" borderId="78" xfId="0" applyNumberFormat="1" applyFont="1" applyBorder="1" applyAlignment="1">
      <alignment horizontal="left" vertical="center"/>
    </xf>
    <xf numFmtId="1" fontId="76" fillId="0" borderId="50" xfId="0" applyNumberFormat="1" applyFont="1" applyBorder="1" applyAlignment="1">
      <alignment horizontal="left"/>
    </xf>
    <xf numFmtId="1" fontId="76" fillId="0" borderId="51" xfId="0" applyNumberFormat="1" applyFont="1" applyBorder="1" applyAlignment="1">
      <alignment horizontal="left"/>
    </xf>
    <xf numFmtId="1" fontId="76" fillId="0" borderId="78" xfId="0" applyNumberFormat="1" applyFont="1" applyBorder="1" applyAlignment="1">
      <alignment horizontal="left"/>
    </xf>
    <xf numFmtId="2" fontId="76" fillId="0" borderId="50" xfId="0" applyNumberFormat="1" applyFont="1" applyBorder="1" applyAlignment="1">
      <alignment horizontal="left"/>
    </xf>
    <xf numFmtId="2" fontId="76" fillId="0" borderId="51" xfId="0" applyNumberFormat="1" applyFont="1" applyBorder="1" applyAlignment="1">
      <alignment horizontal="left"/>
    </xf>
    <xf numFmtId="2" fontId="76" fillId="0" borderId="78" xfId="0" applyNumberFormat="1" applyFont="1" applyBorder="1" applyAlignment="1">
      <alignment horizontal="left"/>
    </xf>
    <xf numFmtId="1" fontId="76" fillId="0" borderId="52" xfId="0" applyNumberFormat="1" applyFont="1" applyBorder="1" applyAlignment="1">
      <alignment horizontal="left"/>
    </xf>
    <xf numFmtId="0" fontId="76" fillId="0" borderId="77" xfId="0" applyFont="1" applyBorder="1" applyAlignment="1">
      <alignment horizontal="left"/>
    </xf>
    <xf numFmtId="0" fontId="76" fillId="0" borderId="51" xfId="0" applyFont="1" applyBorder="1" applyAlignment="1">
      <alignment horizontal="left"/>
    </xf>
    <xf numFmtId="0" fontId="76" fillId="0" borderId="78" xfId="0" applyFont="1" applyBorder="1" applyAlignment="1">
      <alignment horizontal="left"/>
    </xf>
    <xf numFmtId="2" fontId="76" fillId="0" borderId="50" xfId="0" applyNumberFormat="1" applyFont="1" applyBorder="1" applyAlignment="1">
      <alignment horizontal="left" wrapText="1"/>
    </xf>
    <xf numFmtId="0" fontId="79" fillId="0" borderId="50" xfId="0" applyFont="1" applyBorder="1" applyAlignment="1">
      <alignment horizontal="left"/>
    </xf>
    <xf numFmtId="0" fontId="79" fillId="0" borderId="51" xfId="0" applyFont="1" applyBorder="1" applyAlignment="1">
      <alignment horizontal="left"/>
    </xf>
    <xf numFmtId="0" fontId="79" fillId="0" borderId="78" xfId="0" applyFont="1" applyBorder="1" applyAlignment="1">
      <alignment horizontal="left"/>
    </xf>
    <xf numFmtId="1" fontId="76" fillId="0" borderId="50" xfId="0" applyNumberFormat="1" applyFont="1" applyFill="1" applyBorder="1" applyAlignment="1">
      <alignment horizontal="left"/>
    </xf>
    <xf numFmtId="1" fontId="76" fillId="0" borderId="51" xfId="0" applyNumberFormat="1" applyFont="1" applyFill="1" applyBorder="1" applyAlignment="1">
      <alignment horizontal="left"/>
    </xf>
    <xf numFmtId="1" fontId="76" fillId="0" borderId="78" xfId="0" applyNumberFormat="1" applyFont="1" applyFill="1" applyBorder="1" applyAlignment="1">
      <alignment horizontal="left"/>
    </xf>
    <xf numFmtId="1" fontId="76" fillId="0" borderId="50" xfId="42" applyNumberFormat="1" applyFont="1" applyBorder="1" applyAlignment="1">
      <alignment horizontal="left"/>
    </xf>
    <xf numFmtId="1" fontId="76" fillId="0" borderId="51" xfId="42" applyNumberFormat="1" applyFont="1" applyBorder="1" applyAlignment="1">
      <alignment horizontal="left"/>
    </xf>
    <xf numFmtId="1" fontId="76" fillId="0" borderId="78" xfId="42" applyNumberFormat="1" applyFont="1" applyBorder="1" applyAlignment="1">
      <alignment horizontal="left"/>
    </xf>
    <xf numFmtId="1" fontId="75" fillId="0" borderId="50" xfId="0" applyNumberFormat="1" applyFont="1" applyBorder="1" applyAlignment="1">
      <alignment horizontal="left" vertical="center"/>
    </xf>
    <xf numFmtId="1" fontId="75" fillId="0" borderId="25" xfId="0" applyNumberFormat="1" applyFont="1" applyBorder="1" applyAlignment="1">
      <alignment horizontal="left" vertical="center"/>
    </xf>
    <xf numFmtId="3" fontId="78" fillId="0" borderId="25" xfId="0" applyNumberFormat="1" applyFont="1" applyBorder="1" applyAlignment="1">
      <alignment horizontal="left"/>
    </xf>
    <xf numFmtId="0" fontId="86" fillId="0" borderId="50" xfId="0" applyFont="1" applyBorder="1" applyAlignment="1">
      <alignment/>
    </xf>
    <xf numFmtId="0" fontId="81" fillId="0" borderId="29" xfId="0" applyFont="1" applyBorder="1" applyAlignment="1">
      <alignment horizontal="left"/>
    </xf>
    <xf numFmtId="0" fontId="81" fillId="0" borderId="27" xfId="0" applyFont="1" applyBorder="1" applyAlignment="1">
      <alignment horizontal="left"/>
    </xf>
    <xf numFmtId="0" fontId="81" fillId="0" borderId="62" xfId="0" applyFont="1" applyBorder="1" applyAlignment="1">
      <alignment horizontal="left"/>
    </xf>
    <xf numFmtId="1" fontId="85" fillId="0" borderId="61" xfId="0" applyNumberFormat="1" applyFont="1" applyFill="1" applyBorder="1" applyAlignment="1">
      <alignment horizontal="left" vertical="center" wrapText="1"/>
    </xf>
    <xf numFmtId="1" fontId="103" fillId="0" borderId="83" xfId="0" applyNumberFormat="1" applyFont="1" applyBorder="1" applyAlignment="1">
      <alignment horizontal="left" vertical="justify" wrapText="1"/>
    </xf>
    <xf numFmtId="0" fontId="81" fillId="0" borderId="55" xfId="0" applyFont="1" applyBorder="1" applyAlignment="1">
      <alignment horizontal="left"/>
    </xf>
    <xf numFmtId="0" fontId="81" fillId="0" borderId="63" xfId="0" applyFont="1" applyBorder="1" applyAlignment="1">
      <alignment horizontal="left"/>
    </xf>
    <xf numFmtId="0" fontId="81" fillId="0" borderId="69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82" fillId="0" borderId="29" xfId="0" applyFont="1" applyBorder="1" applyAlignment="1">
      <alignment horizontal="left"/>
    </xf>
    <xf numFmtId="0" fontId="111" fillId="0" borderId="0" xfId="0" applyFont="1" applyFill="1" applyBorder="1" applyAlignment="1">
      <alignment horizontal="left"/>
    </xf>
    <xf numFmtId="0" fontId="83" fillId="0" borderId="74" xfId="0" applyFont="1" applyBorder="1" applyAlignment="1">
      <alignment horizontal="center" vertical="center"/>
    </xf>
    <xf numFmtId="0" fontId="83" fillId="0" borderId="37" xfId="0" applyFont="1" applyBorder="1" applyAlignment="1">
      <alignment horizontal="center" vertical="center"/>
    </xf>
    <xf numFmtId="1" fontId="75" fillId="0" borderId="75" xfId="0" applyNumberFormat="1" applyFont="1" applyBorder="1" applyAlignment="1">
      <alignment horizontal="left" vertical="center" wrapText="1"/>
    </xf>
    <xf numFmtId="1" fontId="75" fillId="0" borderId="76" xfId="0" applyNumberFormat="1" applyFont="1" applyBorder="1" applyAlignment="1">
      <alignment horizontal="left" vertical="center" wrapText="1"/>
    </xf>
    <xf numFmtId="1" fontId="75" fillId="0" borderId="75" xfId="0" applyNumberFormat="1" applyFont="1" applyFill="1" applyBorder="1" applyAlignment="1">
      <alignment horizontal="left" vertical="center" wrapText="1"/>
    </xf>
    <xf numFmtId="1" fontId="75" fillId="0" borderId="76" xfId="0" applyNumberFormat="1" applyFont="1" applyFill="1" applyBorder="1" applyAlignment="1">
      <alignment horizontal="left" vertical="center" wrapText="1"/>
    </xf>
    <xf numFmtId="1" fontId="75" fillId="0" borderId="0" xfId="0" applyNumberFormat="1" applyFont="1" applyFill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75" fillId="0" borderId="55" xfId="0" applyNumberFormat="1" applyFont="1" applyBorder="1" applyAlignment="1">
      <alignment horizontal="left" vertical="center"/>
    </xf>
    <xf numFmtId="1" fontId="75" fillId="0" borderId="27" xfId="0" applyNumberFormat="1" applyFont="1" applyBorder="1" applyAlignment="1">
      <alignment horizontal="left" vertical="center"/>
    </xf>
    <xf numFmtId="1" fontId="75" fillId="0" borderId="80" xfId="0" applyNumberFormat="1" applyFont="1" applyBorder="1" applyAlignment="1">
      <alignment horizontal="left" vertical="center"/>
    </xf>
    <xf numFmtId="1" fontId="75" fillId="0" borderId="81" xfId="0" applyNumberFormat="1" applyFont="1" applyBorder="1" applyAlignment="1">
      <alignment horizontal="left" vertical="center"/>
    </xf>
    <xf numFmtId="1" fontId="75" fillId="0" borderId="82" xfId="0" applyNumberFormat="1" applyFont="1" applyBorder="1" applyAlignment="1">
      <alignment horizontal="left" vertical="center"/>
    </xf>
    <xf numFmtId="1" fontId="75" fillId="0" borderId="74" xfId="0" applyNumberFormat="1" applyFont="1" applyFill="1" applyBorder="1" applyAlignment="1">
      <alignment horizontal="left" vertical="center" wrapText="1"/>
    </xf>
    <xf numFmtId="1" fontId="75" fillId="0" borderId="74" xfId="0" applyNumberFormat="1" applyFont="1" applyFill="1" applyBorder="1" applyAlignment="1">
      <alignment horizontal="center" vertical="center" wrapText="1"/>
    </xf>
    <xf numFmtId="1" fontId="75" fillId="0" borderId="75" xfId="0" applyNumberFormat="1" applyFont="1" applyFill="1" applyBorder="1" applyAlignment="1">
      <alignment horizontal="center" vertical="center" wrapText="1"/>
    </xf>
    <xf numFmtId="1" fontId="75" fillId="0" borderId="76" xfId="0" applyNumberFormat="1" applyFont="1" applyFill="1" applyBorder="1" applyAlignment="1">
      <alignment horizontal="center" vertical="center" wrapText="1"/>
    </xf>
    <xf numFmtId="1" fontId="75" fillId="0" borderId="75" xfId="0" applyNumberFormat="1" applyFont="1" applyBorder="1" applyAlignment="1">
      <alignment horizontal="center" vertical="center" wrapText="1"/>
    </xf>
    <xf numFmtId="1" fontId="75" fillId="0" borderId="76" xfId="0" applyNumberFormat="1" applyFont="1" applyBorder="1" applyAlignment="1">
      <alignment horizontal="center" vertical="center" wrapText="1"/>
    </xf>
    <xf numFmtId="1" fontId="75" fillId="0" borderId="56" xfId="0" applyNumberFormat="1" applyFont="1" applyFill="1" applyBorder="1" applyAlignment="1">
      <alignment horizontal="left" vertical="center" wrapText="1"/>
    </xf>
    <xf numFmtId="1" fontId="75" fillId="0" borderId="57" xfId="0" applyNumberFormat="1" applyFont="1" applyFill="1" applyBorder="1" applyAlignment="1">
      <alignment horizontal="left" vertical="center" wrapText="1"/>
    </xf>
    <xf numFmtId="1" fontId="75" fillId="0" borderId="59" xfId="0" applyNumberFormat="1" applyFont="1" applyFill="1" applyBorder="1" applyAlignment="1">
      <alignment horizontal="left" vertical="center" wrapText="1"/>
    </xf>
    <xf numFmtId="0" fontId="83" fillId="0" borderId="69" xfId="0" applyFont="1" applyBorder="1" applyAlignment="1">
      <alignment horizontal="center" vertical="center" wrapText="1"/>
    </xf>
    <xf numFmtId="0" fontId="83" fillId="0" borderId="63" xfId="0" applyFont="1" applyBorder="1" applyAlignment="1">
      <alignment horizontal="center" vertical="center" wrapText="1"/>
    </xf>
    <xf numFmtId="0" fontId="83" fillId="0" borderId="69" xfId="0" applyFont="1" applyFill="1" applyBorder="1" applyAlignment="1">
      <alignment horizontal="center" vertical="center" wrapText="1"/>
    </xf>
    <xf numFmtId="0" fontId="83" fillId="0" borderId="63" xfId="0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left"/>
    </xf>
    <xf numFmtId="0" fontId="115" fillId="0" borderId="61" xfId="0" applyFont="1" applyBorder="1" applyAlignment="1">
      <alignment horizontal="center" vertical="center"/>
    </xf>
    <xf numFmtId="0" fontId="115" fillId="0" borderId="68" xfId="0" applyFont="1" applyBorder="1" applyAlignment="1">
      <alignment horizontal="center" vertical="center"/>
    </xf>
    <xf numFmtId="0" fontId="83" fillId="0" borderId="71" xfId="0" applyFont="1" applyBorder="1" applyAlignment="1">
      <alignment horizontal="center" vertical="center"/>
    </xf>
    <xf numFmtId="0" fontId="83" fillId="0" borderId="69" xfId="0" applyFont="1" applyBorder="1" applyAlignment="1">
      <alignment horizontal="center" vertical="center"/>
    </xf>
    <xf numFmtId="0" fontId="83" fillId="0" borderId="63" xfId="0" applyFont="1" applyBorder="1" applyAlignment="1">
      <alignment horizontal="center" vertical="center"/>
    </xf>
    <xf numFmtId="0" fontId="83" fillId="0" borderId="65" xfId="0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horizontal="center" vertical="center" wrapText="1"/>
    </xf>
    <xf numFmtId="0" fontId="83" fillId="0" borderId="49" xfId="0" applyFont="1" applyFill="1" applyBorder="1" applyAlignment="1">
      <alignment horizontal="center" vertical="center" wrapText="1"/>
    </xf>
    <xf numFmtId="0" fontId="83" fillId="0" borderId="71" xfId="0" applyFont="1" applyBorder="1" applyAlignment="1">
      <alignment horizontal="center" vertical="center" wrapText="1"/>
    </xf>
    <xf numFmtId="1" fontId="85" fillId="0" borderId="74" xfId="0" applyNumberFormat="1" applyFont="1" applyBorder="1" applyAlignment="1">
      <alignment horizontal="center" vertical="center" wrapText="1"/>
    </xf>
    <xf numFmtId="1" fontId="85" fillId="0" borderId="75" xfId="0" applyNumberFormat="1" applyFont="1" applyBorder="1" applyAlignment="1">
      <alignment horizontal="center" vertical="center" wrapText="1"/>
    </xf>
    <xf numFmtId="1" fontId="85" fillId="0" borderId="76" xfId="0" applyNumberFormat="1" applyFont="1" applyBorder="1" applyAlignment="1">
      <alignment horizontal="center" vertical="center" wrapText="1"/>
    </xf>
    <xf numFmtId="1" fontId="85" fillId="0" borderId="75" xfId="0" applyNumberFormat="1" applyFont="1" applyFill="1" applyBorder="1" applyAlignment="1">
      <alignment horizontal="center" vertical="center" wrapText="1"/>
    </xf>
    <xf numFmtId="1" fontId="114" fillId="0" borderId="0" xfId="0" applyNumberFormat="1" applyFont="1" applyBorder="1" applyAlignment="1">
      <alignment horizontal="left"/>
    </xf>
    <xf numFmtId="1" fontId="85" fillId="0" borderId="74" xfId="0" applyNumberFormat="1" applyFont="1" applyBorder="1" applyAlignment="1">
      <alignment horizontal="center" vertical="center"/>
    </xf>
    <xf numFmtId="1" fontId="85" fillId="0" borderId="37" xfId="0" applyNumberFormat="1" applyFont="1" applyBorder="1" applyAlignment="1">
      <alignment horizontal="center" vertical="center"/>
    </xf>
    <xf numFmtId="1" fontId="85" fillId="0" borderId="75" xfId="0" applyNumberFormat="1" applyFont="1" applyBorder="1" applyAlignment="1">
      <alignment horizontal="center" vertical="center"/>
    </xf>
    <xf numFmtId="1" fontId="85" fillId="0" borderId="74" xfId="0" applyNumberFormat="1" applyFont="1" applyFill="1" applyBorder="1" applyAlignment="1">
      <alignment horizontal="center" vertical="center" wrapText="1"/>
    </xf>
    <xf numFmtId="1" fontId="85" fillId="0" borderId="76" xfId="0" applyNumberFormat="1" applyFont="1" applyFill="1" applyBorder="1" applyAlignment="1">
      <alignment horizontal="center" vertical="center" wrapText="1"/>
    </xf>
    <xf numFmtId="1" fontId="83" fillId="0" borderId="71" xfId="0" applyNumberFormat="1" applyFont="1" applyFill="1" applyBorder="1" applyAlignment="1">
      <alignment horizontal="left" vertical="center" wrapText="1"/>
    </xf>
    <xf numFmtId="1" fontId="83" fillId="0" borderId="69" xfId="0" applyNumberFormat="1" applyFont="1" applyFill="1" applyBorder="1" applyAlignment="1">
      <alignment horizontal="left" vertical="center" wrapText="1"/>
    </xf>
    <xf numFmtId="1" fontId="111" fillId="0" borderId="0" xfId="0" applyNumberFormat="1" applyFont="1" applyFill="1" applyBorder="1" applyAlignment="1">
      <alignment horizontal="left"/>
    </xf>
    <xf numFmtId="1" fontId="83" fillId="0" borderId="34" xfId="0" applyNumberFormat="1" applyFont="1" applyBorder="1" applyAlignment="1">
      <alignment horizontal="left" vertical="center"/>
    </xf>
    <xf numFmtId="1" fontId="83" fillId="0" borderId="52" xfId="0" applyNumberFormat="1" applyFont="1" applyBorder="1" applyAlignment="1">
      <alignment horizontal="left" vertical="center"/>
    </xf>
    <xf numFmtId="1" fontId="83" fillId="0" borderId="71" xfId="0" applyNumberFormat="1" applyFont="1" applyFill="1" applyBorder="1" applyAlignment="1">
      <alignment horizontal="left" vertical="center"/>
    </xf>
    <xf numFmtId="1" fontId="83" fillId="0" borderId="69" xfId="0" applyNumberFormat="1" applyFont="1" applyFill="1" applyBorder="1" applyAlignment="1">
      <alignment horizontal="left" vertical="center"/>
    </xf>
    <xf numFmtId="1" fontId="83" fillId="0" borderId="63" xfId="0" applyNumberFormat="1" applyFont="1" applyFill="1" applyBorder="1" applyAlignment="1">
      <alignment horizontal="left" vertical="center" wrapText="1"/>
    </xf>
    <xf numFmtId="1" fontId="83" fillId="0" borderId="47" xfId="0" applyNumberFormat="1" applyFont="1" applyFill="1" applyBorder="1" applyAlignment="1">
      <alignment horizontal="left" vertical="center" wrapText="1"/>
    </xf>
    <xf numFmtId="1" fontId="83" fillId="0" borderId="48" xfId="0" applyNumberFormat="1" applyFont="1" applyFill="1" applyBorder="1" applyAlignment="1">
      <alignment horizontal="left" vertical="center" wrapText="1"/>
    </xf>
    <xf numFmtId="1" fontId="83" fillId="0" borderId="49" xfId="0" applyNumberFormat="1" applyFont="1" applyFill="1" applyBorder="1" applyAlignment="1">
      <alignment horizontal="left" vertical="center" wrapText="1"/>
    </xf>
    <xf numFmtId="0" fontId="83" fillId="0" borderId="75" xfId="0" applyFont="1" applyBorder="1" applyAlignment="1">
      <alignment horizontal="center" vertical="center" wrapText="1"/>
    </xf>
    <xf numFmtId="0" fontId="83" fillId="0" borderId="76" xfId="0" applyFont="1" applyBorder="1" applyAlignment="1">
      <alignment horizontal="center" vertical="center" wrapText="1"/>
    </xf>
    <xf numFmtId="0" fontId="83" fillId="0" borderId="74" xfId="0" applyFont="1" applyBorder="1" applyAlignment="1">
      <alignment horizontal="center" vertical="center" wrapText="1"/>
    </xf>
    <xf numFmtId="0" fontId="83" fillId="0" borderId="74" xfId="0" applyFont="1" applyFill="1" applyBorder="1" applyAlignment="1">
      <alignment horizontal="center" vertical="center" wrapText="1"/>
    </xf>
    <xf numFmtId="0" fontId="83" fillId="0" borderId="75" xfId="0" applyFont="1" applyFill="1" applyBorder="1" applyAlignment="1">
      <alignment horizontal="center" vertical="center" wrapText="1"/>
    </xf>
    <xf numFmtId="0" fontId="83" fillId="0" borderId="56" xfId="0" applyFont="1" applyBorder="1" applyAlignment="1">
      <alignment horizontal="center" vertical="center" wrapText="1"/>
    </xf>
    <xf numFmtId="0" fontId="83" fillId="0" borderId="57" xfId="0" applyFont="1" applyBorder="1" applyAlignment="1">
      <alignment horizontal="center" vertical="center" wrapText="1"/>
    </xf>
    <xf numFmtId="0" fontId="83" fillId="0" borderId="58" xfId="0" applyFont="1" applyBorder="1" applyAlignment="1">
      <alignment horizontal="center" vertical="center" wrapText="1"/>
    </xf>
    <xf numFmtId="1" fontId="83" fillId="0" borderId="74" xfId="0" applyNumberFormat="1" applyFont="1" applyBorder="1" applyAlignment="1">
      <alignment horizontal="center" vertical="center" wrapText="1"/>
    </xf>
    <xf numFmtId="1" fontId="83" fillId="0" borderId="75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left"/>
    </xf>
    <xf numFmtId="0" fontId="115" fillId="0" borderId="55" xfId="0" applyFont="1" applyBorder="1" applyAlignment="1">
      <alignment horizontal="center" vertical="center"/>
    </xf>
    <xf numFmtId="0" fontId="115" fillId="0" borderId="62" xfId="0" applyFont="1" applyBorder="1" applyAlignment="1">
      <alignment horizontal="center" vertical="center"/>
    </xf>
    <xf numFmtId="0" fontId="83" fillId="0" borderId="75" xfId="0" applyFont="1" applyBorder="1" applyAlignment="1">
      <alignment horizontal="center" vertical="center"/>
    </xf>
    <xf numFmtId="0" fontId="83" fillId="0" borderId="76" xfId="0" applyFont="1" applyBorder="1" applyAlignment="1">
      <alignment horizontal="center" vertical="center"/>
    </xf>
    <xf numFmtId="1" fontId="83" fillId="0" borderId="56" xfId="0" applyNumberFormat="1" applyFont="1" applyFill="1" applyBorder="1" applyAlignment="1">
      <alignment horizontal="left" vertical="center" wrapText="1"/>
    </xf>
    <xf numFmtId="1" fontId="83" fillId="0" borderId="57" xfId="0" applyNumberFormat="1" applyFont="1" applyFill="1" applyBorder="1" applyAlignment="1">
      <alignment horizontal="left" vertical="center" wrapText="1"/>
    </xf>
    <xf numFmtId="1" fontId="83" fillId="0" borderId="59" xfId="0" applyNumberFormat="1" applyFont="1" applyFill="1" applyBorder="1" applyAlignment="1">
      <alignment horizontal="left" vertical="center" wrapText="1"/>
    </xf>
    <xf numFmtId="1" fontId="83" fillId="0" borderId="74" xfId="0" applyNumberFormat="1" applyFont="1" applyBorder="1" applyAlignment="1">
      <alignment horizontal="left" vertical="center" wrapText="1"/>
    </xf>
    <xf numFmtId="1" fontId="83" fillId="0" borderId="75" xfId="0" applyNumberFormat="1" applyFont="1" applyBorder="1" applyAlignment="1">
      <alignment horizontal="left" vertical="center" wrapText="1"/>
    </xf>
    <xf numFmtId="1" fontId="83" fillId="0" borderId="74" xfId="0" applyNumberFormat="1" applyFont="1" applyFill="1" applyBorder="1" applyAlignment="1">
      <alignment horizontal="left" vertical="center" wrapText="1"/>
    </xf>
    <xf numFmtId="1" fontId="83" fillId="0" borderId="75" xfId="0" applyNumberFormat="1" applyFont="1" applyFill="1" applyBorder="1" applyAlignment="1">
      <alignment horizontal="left" vertical="center" wrapText="1"/>
    </xf>
    <xf numFmtId="1" fontId="83" fillId="0" borderId="76" xfId="0" applyNumberFormat="1" applyFont="1" applyFill="1" applyBorder="1" applyAlignment="1">
      <alignment horizontal="left" vertical="center" wrapText="1"/>
    </xf>
    <xf numFmtId="0" fontId="77" fillId="0" borderId="0" xfId="0" applyFont="1" applyAlignment="1">
      <alignment horizontal="center"/>
    </xf>
    <xf numFmtId="0" fontId="100" fillId="0" borderId="0" xfId="0" applyFont="1" applyAlignment="1">
      <alignment horizontal="left"/>
    </xf>
    <xf numFmtId="0" fontId="101" fillId="0" borderId="61" xfId="0" applyFont="1" applyBorder="1" applyAlignment="1">
      <alignment horizontal="center"/>
    </xf>
    <xf numFmtId="0" fontId="101" fillId="0" borderId="26" xfId="0" applyFont="1" applyBorder="1" applyAlignment="1">
      <alignment horizontal="center"/>
    </xf>
    <xf numFmtId="1" fontId="88" fillId="0" borderId="0" xfId="0" applyNumberFormat="1" applyFont="1" applyBorder="1" applyAlignment="1">
      <alignment horizontal="left"/>
    </xf>
    <xf numFmtId="1" fontId="75" fillId="0" borderId="47" xfId="0" applyNumberFormat="1" applyFont="1" applyBorder="1" applyAlignment="1">
      <alignment horizontal="left" vertical="center"/>
    </xf>
    <xf numFmtId="1" fontId="75" fillId="0" borderId="48" xfId="0" applyNumberFormat="1" applyFont="1" applyBorder="1" applyAlignment="1">
      <alignment horizontal="left" vertical="center"/>
    </xf>
    <xf numFmtId="1" fontId="75" fillId="0" borderId="49" xfId="0" applyNumberFormat="1" applyFont="1" applyBorder="1" applyAlignment="1">
      <alignment horizontal="left" vertical="center"/>
    </xf>
    <xf numFmtId="1" fontId="75" fillId="0" borderId="65" xfId="0" applyNumberFormat="1" applyFont="1" applyBorder="1" applyAlignment="1">
      <alignment horizontal="left" vertical="center" wrapText="1"/>
    </xf>
    <xf numFmtId="1" fontId="75" fillId="0" borderId="48" xfId="0" applyNumberFormat="1" applyFont="1" applyBorder="1" applyAlignment="1">
      <alignment horizontal="left" vertical="center" wrapText="1"/>
    </xf>
    <xf numFmtId="1" fontId="75" fillId="0" borderId="49" xfId="0" applyNumberFormat="1" applyFont="1" applyBorder="1" applyAlignment="1">
      <alignment horizontal="left" vertical="center" wrapText="1"/>
    </xf>
    <xf numFmtId="1" fontId="75" fillId="0" borderId="47" xfId="0" applyNumberFormat="1" applyFont="1" applyBorder="1" applyAlignment="1">
      <alignment horizontal="left" vertical="center" wrapText="1"/>
    </xf>
    <xf numFmtId="1" fontId="75" fillId="0" borderId="64" xfId="0" applyNumberFormat="1" applyFont="1" applyBorder="1" applyAlignment="1">
      <alignment horizontal="left" vertical="center" wrapText="1"/>
    </xf>
    <xf numFmtId="1" fontId="75" fillId="0" borderId="65" xfId="0" applyNumberFormat="1" applyFont="1" applyFill="1" applyBorder="1" applyAlignment="1">
      <alignment horizontal="left" vertical="center" wrapText="1"/>
    </xf>
    <xf numFmtId="1" fontId="75" fillId="0" borderId="48" xfId="0" applyNumberFormat="1" applyFont="1" applyFill="1" applyBorder="1" applyAlignment="1">
      <alignment horizontal="left" vertical="center" wrapText="1"/>
    </xf>
    <xf numFmtId="1" fontId="75" fillId="0" borderId="49" xfId="0" applyNumberFormat="1" applyFont="1" applyFill="1" applyBorder="1" applyAlignment="1">
      <alignment horizontal="left" vertical="center" wrapText="1"/>
    </xf>
    <xf numFmtId="1" fontId="75" fillId="0" borderId="47" xfId="0" applyNumberFormat="1" applyFont="1" applyFill="1" applyBorder="1" applyAlignment="1">
      <alignment horizontal="left" vertical="center" wrapText="1"/>
    </xf>
    <xf numFmtId="0" fontId="103" fillId="0" borderId="71" xfId="0" applyFont="1" applyBorder="1" applyAlignment="1">
      <alignment horizontal="center"/>
    </xf>
    <xf numFmtId="0" fontId="103" fillId="0" borderId="72" xfId="0" applyFont="1" applyBorder="1" applyAlignment="1">
      <alignment horizontal="center"/>
    </xf>
    <xf numFmtId="0" fontId="75" fillId="0" borderId="0" xfId="0" applyFont="1" applyFill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75" fillId="0" borderId="71" xfId="0" applyFont="1" applyBorder="1" applyAlignment="1">
      <alignment horizontal="left" vertical="center" wrapText="1"/>
    </xf>
    <xf numFmtId="0" fontId="75" fillId="0" borderId="69" xfId="0" applyFont="1" applyBorder="1" applyAlignment="1">
      <alignment horizontal="left" vertical="center" wrapText="1"/>
    </xf>
    <xf numFmtId="0" fontId="75" fillId="0" borderId="63" xfId="0" applyFont="1" applyBorder="1" applyAlignment="1">
      <alignment horizontal="left" vertical="center" wrapText="1"/>
    </xf>
    <xf numFmtId="0" fontId="75" fillId="0" borderId="80" xfId="0" applyFont="1" applyBorder="1" applyAlignment="1">
      <alignment horizontal="left" vertical="center" wrapText="1"/>
    </xf>
    <xf numFmtId="0" fontId="75" fillId="0" borderId="81" xfId="0" applyFont="1" applyBorder="1" applyAlignment="1">
      <alignment horizontal="left" vertical="center" wrapText="1"/>
    </xf>
    <xf numFmtId="0" fontId="75" fillId="0" borderId="82" xfId="0" applyFont="1" applyBorder="1" applyAlignment="1">
      <alignment horizontal="left" vertical="center" wrapText="1"/>
    </xf>
    <xf numFmtId="0" fontId="75" fillId="0" borderId="65" xfId="0" applyFont="1" applyFill="1" applyBorder="1" applyAlignment="1">
      <alignment horizontal="left" vertical="center" wrapText="1"/>
    </xf>
    <xf numFmtId="0" fontId="75" fillId="0" borderId="48" xfId="0" applyFont="1" applyFill="1" applyBorder="1" applyAlignment="1">
      <alignment horizontal="left" vertical="center" wrapText="1"/>
    </xf>
    <xf numFmtId="0" fontId="75" fillId="0" borderId="49" xfId="0" applyFont="1" applyFill="1" applyBorder="1" applyAlignment="1">
      <alignment horizontal="left" vertical="center" wrapText="1"/>
    </xf>
    <xf numFmtId="0" fontId="75" fillId="0" borderId="85" xfId="0" applyFont="1" applyBorder="1" applyAlignment="1">
      <alignment horizontal="left" vertical="center" wrapText="1"/>
    </xf>
    <xf numFmtId="0" fontId="75" fillId="0" borderId="86" xfId="0" applyFont="1" applyBorder="1" applyAlignment="1">
      <alignment horizontal="left" vertical="center" wrapText="1"/>
    </xf>
    <xf numFmtId="0" fontId="75" fillId="0" borderId="88" xfId="0" applyFont="1" applyBorder="1" applyAlignment="1">
      <alignment horizontal="left" vertical="center" wrapText="1"/>
    </xf>
    <xf numFmtId="0" fontId="101" fillId="0" borderId="74" xfId="0" applyFont="1" applyBorder="1" applyAlignment="1">
      <alignment horizontal="left" vertical="center"/>
    </xf>
    <xf numFmtId="0" fontId="101" fillId="0" borderId="17" xfId="0" applyFont="1" applyBorder="1" applyAlignment="1">
      <alignment horizontal="left" vertical="center"/>
    </xf>
    <xf numFmtId="0" fontId="75" fillId="0" borderId="47" xfId="0" applyFont="1" applyBorder="1" applyAlignment="1">
      <alignment horizontal="left" vertical="center"/>
    </xf>
    <xf numFmtId="0" fontId="75" fillId="0" borderId="48" xfId="0" applyFont="1" applyBorder="1" applyAlignment="1">
      <alignment horizontal="left" vertical="center"/>
    </xf>
    <xf numFmtId="0" fontId="75" fillId="0" borderId="49" xfId="0" applyFont="1" applyBorder="1" applyAlignment="1">
      <alignment horizontal="left" vertical="center"/>
    </xf>
    <xf numFmtId="0" fontId="75" fillId="0" borderId="74" xfId="0" applyFont="1" applyBorder="1" applyAlignment="1">
      <alignment horizontal="left" vertical="center" wrapText="1"/>
    </xf>
    <xf numFmtId="0" fontId="75" fillId="0" borderId="75" xfId="0" applyFont="1" applyBorder="1" applyAlignment="1">
      <alignment horizontal="left" vertical="center" wrapText="1"/>
    </xf>
    <xf numFmtId="0" fontId="75" fillId="0" borderId="76" xfId="0" applyFont="1" applyBorder="1" applyAlignment="1">
      <alignment horizontal="left" vertical="center" wrapText="1"/>
    </xf>
    <xf numFmtId="0" fontId="75" fillId="0" borderId="71" xfId="0" applyFont="1" applyFill="1" applyBorder="1" applyAlignment="1">
      <alignment horizontal="left" vertical="center" wrapText="1"/>
    </xf>
    <xf numFmtId="0" fontId="75" fillId="0" borderId="69" xfId="0" applyFont="1" applyFill="1" applyBorder="1" applyAlignment="1">
      <alignment horizontal="left" vertical="center" wrapText="1"/>
    </xf>
    <xf numFmtId="0" fontId="75" fillId="0" borderId="63" xfId="0" applyFont="1" applyFill="1" applyBorder="1" applyAlignment="1">
      <alignment horizontal="left" vertical="center" wrapText="1"/>
    </xf>
    <xf numFmtId="0" fontId="75" fillId="0" borderId="47" xfId="0" applyFont="1" applyBorder="1" applyAlignment="1">
      <alignment horizontal="left" vertical="center" wrapText="1"/>
    </xf>
    <xf numFmtId="0" fontId="75" fillId="0" borderId="48" xfId="0" applyFont="1" applyBorder="1" applyAlignment="1">
      <alignment horizontal="left" vertical="center" wrapText="1"/>
    </xf>
    <xf numFmtId="0" fontId="75" fillId="0" borderId="49" xfId="0" applyFont="1" applyBorder="1" applyAlignment="1">
      <alignment horizontal="left" vertical="center" wrapText="1"/>
    </xf>
    <xf numFmtId="0" fontId="75" fillId="0" borderId="65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75" fillId="0" borderId="61" xfId="0" applyFont="1" applyBorder="1" applyAlignment="1">
      <alignment horizontal="left" vertical="center"/>
    </xf>
    <xf numFmtId="0" fontId="75" fillId="0" borderId="68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75" fillId="0" borderId="71" xfId="0" applyFont="1" applyBorder="1" applyAlignment="1">
      <alignment horizontal="left" vertical="center"/>
    </xf>
    <xf numFmtId="0" fontId="75" fillId="0" borderId="69" xfId="0" applyFont="1" applyBorder="1" applyAlignment="1">
      <alignment horizontal="left" vertical="center"/>
    </xf>
    <xf numFmtId="0" fontId="75" fillId="0" borderId="63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 wrapText="1"/>
    </xf>
    <xf numFmtId="0" fontId="4" fillId="0" borderId="75" xfId="0" applyFont="1" applyBorder="1" applyAlignment="1">
      <alignment horizontal="left" vertical="center" wrapText="1"/>
    </xf>
    <xf numFmtId="0" fontId="4" fillId="0" borderId="76" xfId="0" applyFont="1" applyBorder="1" applyAlignment="1">
      <alignment horizontal="left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83" fillId="0" borderId="61" xfId="0" applyFont="1" applyBorder="1" applyAlignment="1">
      <alignment horizontal="left" vertical="center"/>
    </xf>
    <xf numFmtId="0" fontId="83" fillId="0" borderId="26" xfId="0" applyFont="1" applyBorder="1" applyAlignment="1">
      <alignment horizontal="left" vertical="center"/>
    </xf>
    <xf numFmtId="0" fontId="4" fillId="0" borderId="74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left" vertical="center" wrapText="1"/>
    </xf>
    <xf numFmtId="0" fontId="4" fillId="0" borderId="76" xfId="0" applyFont="1" applyFill="1" applyBorder="1" applyAlignment="1">
      <alignment horizontal="left" vertical="center" wrapText="1"/>
    </xf>
    <xf numFmtId="0" fontId="75" fillId="0" borderId="75" xfId="0" applyFont="1" applyFill="1" applyBorder="1" applyAlignment="1">
      <alignment horizontal="left" vertical="center" wrapText="1"/>
    </xf>
    <xf numFmtId="0" fontId="75" fillId="0" borderId="76" xfId="0" applyFont="1" applyFill="1" applyBorder="1" applyAlignment="1">
      <alignment horizontal="left" vertical="center" wrapText="1"/>
    </xf>
    <xf numFmtId="1" fontId="75" fillId="0" borderId="74" xfId="0" applyNumberFormat="1" applyFont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75" fillId="0" borderId="74" xfId="0" applyFont="1" applyBorder="1" applyAlignment="1">
      <alignment horizontal="left" vertical="center"/>
    </xf>
    <xf numFmtId="0" fontId="75" fillId="0" borderId="37" xfId="0" applyFont="1" applyBorder="1" applyAlignment="1">
      <alignment horizontal="left" vertical="center"/>
    </xf>
    <xf numFmtId="0" fontId="75" fillId="0" borderId="75" xfId="0" applyFont="1" applyBorder="1" applyAlignment="1">
      <alignment horizontal="left" vertical="center"/>
    </xf>
    <xf numFmtId="0" fontId="75" fillId="0" borderId="76" xfId="0" applyFont="1" applyBorder="1" applyAlignment="1">
      <alignment horizontal="left" vertical="center"/>
    </xf>
    <xf numFmtId="0" fontId="75" fillId="0" borderId="75" xfId="0" applyFont="1" applyFill="1" applyBorder="1" applyAlignment="1">
      <alignment horizontal="center" vertical="center" wrapText="1"/>
    </xf>
    <xf numFmtId="0" fontId="75" fillId="0" borderId="76" xfId="0" applyFont="1" applyFill="1" applyBorder="1" applyAlignment="1">
      <alignment horizontal="center" vertical="center" wrapText="1"/>
    </xf>
    <xf numFmtId="0" fontId="75" fillId="0" borderId="74" xfId="0" applyFont="1" applyBorder="1" applyAlignment="1">
      <alignment horizontal="center" vertical="center" wrapText="1"/>
    </xf>
    <xf numFmtId="0" fontId="75" fillId="0" borderId="75" xfId="0" applyFont="1" applyBorder="1" applyAlignment="1">
      <alignment horizontal="center" vertical="center" wrapText="1"/>
    </xf>
    <xf numFmtId="0" fontId="75" fillId="0" borderId="76" xfId="0" applyFont="1" applyBorder="1" applyAlignment="1">
      <alignment horizontal="center" vertical="center" wrapText="1"/>
    </xf>
    <xf numFmtId="0" fontId="75" fillId="0" borderId="74" xfId="0" applyFont="1" applyFill="1" applyBorder="1" applyAlignment="1">
      <alignment horizontal="center" vertical="center" wrapText="1"/>
    </xf>
    <xf numFmtId="0" fontId="75" fillId="0" borderId="61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74" xfId="0" applyFont="1" applyBorder="1" applyAlignment="1">
      <alignment horizontal="center" vertical="center"/>
    </xf>
    <xf numFmtId="0" fontId="75" fillId="0" borderId="75" xfId="0" applyFont="1" applyBorder="1" applyAlignment="1">
      <alignment horizontal="center" vertical="center"/>
    </xf>
    <xf numFmtId="0" fontId="75" fillId="0" borderId="76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 wrapText="1"/>
    </xf>
    <xf numFmtId="0" fontId="75" fillId="0" borderId="57" xfId="0" applyFont="1" applyBorder="1" applyAlignment="1">
      <alignment horizontal="center" vertical="center" wrapText="1"/>
    </xf>
    <xf numFmtId="0" fontId="75" fillId="0" borderId="59" xfId="0" applyFont="1" applyBorder="1" applyAlignment="1">
      <alignment horizontal="center" vertical="center" wrapText="1"/>
    </xf>
    <xf numFmtId="1" fontId="83" fillId="0" borderId="74" xfId="0" applyNumberFormat="1" applyFont="1" applyFill="1" applyBorder="1" applyAlignment="1">
      <alignment horizontal="center" vertical="center" wrapText="1"/>
    </xf>
    <xf numFmtId="1" fontId="83" fillId="0" borderId="75" xfId="0" applyNumberFormat="1" applyFont="1" applyFill="1" applyBorder="1" applyAlignment="1">
      <alignment horizontal="center" vertical="center" wrapText="1"/>
    </xf>
    <xf numFmtId="1" fontId="83" fillId="0" borderId="76" xfId="0" applyNumberFormat="1" applyFont="1" applyFill="1" applyBorder="1" applyAlignment="1">
      <alignment horizontal="center" vertical="center" wrapText="1"/>
    </xf>
    <xf numFmtId="1" fontId="83" fillId="0" borderId="0" xfId="0" applyNumberFormat="1" applyFont="1" applyFill="1" applyBorder="1" applyAlignment="1">
      <alignment horizontal="left"/>
    </xf>
    <xf numFmtId="1" fontId="80" fillId="0" borderId="0" xfId="0" applyNumberFormat="1" applyFont="1" applyBorder="1" applyAlignment="1">
      <alignment horizontal="left"/>
    </xf>
    <xf numFmtId="1" fontId="83" fillId="0" borderId="55" xfId="0" applyNumberFormat="1" applyFont="1" applyBorder="1" applyAlignment="1">
      <alignment horizontal="left" vertical="center"/>
    </xf>
    <xf numFmtId="1" fontId="83" fillId="0" borderId="27" xfId="0" applyNumberFormat="1" applyFont="1" applyBorder="1" applyAlignment="1">
      <alignment horizontal="left" vertical="center"/>
    </xf>
    <xf numFmtId="1" fontId="83" fillId="0" borderId="75" xfId="0" applyNumberFormat="1" applyFont="1" applyBorder="1" applyAlignment="1">
      <alignment horizontal="center" vertical="center"/>
    </xf>
    <xf numFmtId="1" fontId="83" fillId="0" borderId="76" xfId="0" applyNumberFormat="1" applyFont="1" applyBorder="1" applyAlignment="1">
      <alignment horizontal="center" vertical="center"/>
    </xf>
    <xf numFmtId="1" fontId="83" fillId="0" borderId="76" xfId="0" applyNumberFormat="1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8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C42" sqref="AC42"/>
    </sheetView>
  </sheetViews>
  <sheetFormatPr defaultColWidth="9.140625" defaultRowHeight="15"/>
  <cols>
    <col min="1" max="1" width="65.00390625" style="157" bestFit="1" customWidth="1"/>
    <col min="2" max="2" width="3.8515625" style="157" customWidth="1"/>
    <col min="3" max="3" width="13.8515625" style="157" bestFit="1" customWidth="1"/>
    <col min="4" max="4" width="14.421875" style="157" customWidth="1"/>
    <col min="5" max="5" width="16.28125" style="157" customWidth="1"/>
    <col min="6" max="6" width="16.7109375" style="157" customWidth="1"/>
    <col min="7" max="7" width="14.8515625" style="157" customWidth="1"/>
    <col min="8" max="8" width="18.28125" style="912" bestFit="1" customWidth="1"/>
    <col min="9" max="9" width="13.8515625" style="157" customWidth="1"/>
    <col min="10" max="10" width="12.7109375" style="157" customWidth="1"/>
    <col min="11" max="11" width="14.8515625" style="157" customWidth="1"/>
    <col min="12" max="12" width="12.28125" style="157" customWidth="1"/>
    <col min="13" max="13" width="13.57421875" style="157" bestFit="1" customWidth="1"/>
    <col min="14" max="14" width="14.28125" style="157" customWidth="1"/>
    <col min="15" max="15" width="13.28125" style="157" customWidth="1"/>
    <col min="16" max="16" width="14.00390625" style="157" customWidth="1"/>
    <col min="17" max="17" width="13.421875" style="157" customWidth="1"/>
    <col min="18" max="18" width="14.7109375" style="157" customWidth="1"/>
    <col min="19" max="19" width="12.7109375" style="157" customWidth="1"/>
    <col min="20" max="20" width="13.8515625" style="157" customWidth="1"/>
    <col min="21" max="21" width="12.57421875" style="157" customWidth="1"/>
    <col min="22" max="22" width="12.7109375" style="157" customWidth="1"/>
    <col min="23" max="23" width="13.421875" style="157" bestFit="1" customWidth="1"/>
    <col min="24" max="25" width="13.8515625" style="157" bestFit="1" customWidth="1"/>
    <col min="26" max="27" width="15.7109375" style="157" bestFit="1" customWidth="1"/>
    <col min="28" max="28" width="16.28125" style="157" customWidth="1"/>
    <col min="29" max="29" width="9.57421875" style="157" bestFit="1" customWidth="1"/>
    <col min="30" max="16384" width="9.140625" style="157" customWidth="1"/>
  </cols>
  <sheetData>
    <row r="1" spans="1:28" ht="18.75" thickBot="1">
      <c r="A1" s="1680" t="s">
        <v>449</v>
      </c>
      <c r="B1" s="1680"/>
      <c r="C1" s="1680"/>
      <c r="D1" s="1680"/>
      <c r="E1" s="1680"/>
      <c r="F1" s="1680"/>
      <c r="G1" s="1680"/>
      <c r="H1" s="1680"/>
      <c r="I1" s="1680"/>
      <c r="J1" s="1680"/>
      <c r="K1" s="1680"/>
      <c r="L1" s="1680"/>
      <c r="M1" s="1680"/>
      <c r="N1" s="1680"/>
      <c r="O1" s="1680"/>
      <c r="P1" s="1680"/>
      <c r="Q1" s="1680"/>
      <c r="R1" s="1680"/>
      <c r="S1" s="1680"/>
      <c r="T1" s="1680"/>
      <c r="U1" s="1680"/>
      <c r="V1" s="1680"/>
      <c r="W1" s="1680"/>
      <c r="X1" s="1680"/>
      <c r="Y1" s="1680"/>
      <c r="Z1" s="1680"/>
      <c r="AA1" s="1680"/>
      <c r="AB1" s="1680"/>
    </row>
    <row r="2" spans="1:28" ht="69" customHeight="1" thickBot="1">
      <c r="A2" s="1681" t="s">
        <v>0</v>
      </c>
      <c r="B2" s="1473"/>
      <c r="C2" s="1309" t="s">
        <v>190</v>
      </c>
      <c r="D2" s="1475" t="s">
        <v>191</v>
      </c>
      <c r="E2" s="1237" t="s">
        <v>192</v>
      </c>
      <c r="F2" s="1475" t="s">
        <v>193</v>
      </c>
      <c r="G2" s="1475" t="s">
        <v>194</v>
      </c>
      <c r="H2" s="1475" t="s">
        <v>195</v>
      </c>
      <c r="I2" s="1475" t="s">
        <v>196</v>
      </c>
      <c r="J2" s="1475" t="s">
        <v>197</v>
      </c>
      <c r="K2" s="1475" t="s">
        <v>198</v>
      </c>
      <c r="L2" s="1475" t="s">
        <v>199</v>
      </c>
      <c r="M2" s="1475" t="s">
        <v>200</v>
      </c>
      <c r="N2" s="1475" t="s">
        <v>201</v>
      </c>
      <c r="O2" s="1475" t="s">
        <v>202</v>
      </c>
      <c r="P2" s="1475" t="s">
        <v>203</v>
      </c>
      <c r="Q2" s="1475" t="s">
        <v>204</v>
      </c>
      <c r="R2" s="1475" t="s">
        <v>205</v>
      </c>
      <c r="S2" s="1475" t="s">
        <v>206</v>
      </c>
      <c r="T2" s="1475" t="s">
        <v>207</v>
      </c>
      <c r="U2" s="1475" t="s">
        <v>208</v>
      </c>
      <c r="V2" s="1475" t="s">
        <v>209</v>
      </c>
      <c r="W2" s="1475" t="s">
        <v>210</v>
      </c>
      <c r="X2" s="1475" t="s">
        <v>211</v>
      </c>
      <c r="Y2" s="1475" t="s">
        <v>212</v>
      </c>
      <c r="Z2" s="1475" t="s">
        <v>1</v>
      </c>
      <c r="AA2" s="1475" t="s">
        <v>213</v>
      </c>
      <c r="AB2" s="1475" t="s">
        <v>2</v>
      </c>
    </row>
    <row r="3" spans="1:28" s="1018" customFormat="1" ht="15" customHeight="1" thickBot="1">
      <c r="A3" s="1682"/>
      <c r="B3" s="1504"/>
      <c r="C3" s="1112" t="s">
        <v>372</v>
      </c>
      <c r="D3" s="1129" t="s">
        <v>372</v>
      </c>
      <c r="E3" s="1112" t="s">
        <v>372</v>
      </c>
      <c r="F3" s="1129" t="s">
        <v>372</v>
      </c>
      <c r="G3" s="1129" t="s">
        <v>372</v>
      </c>
      <c r="H3" s="995" t="s">
        <v>372</v>
      </c>
      <c r="I3" s="1129" t="s">
        <v>372</v>
      </c>
      <c r="J3" s="1129" t="s">
        <v>372</v>
      </c>
      <c r="K3" s="1129" t="s">
        <v>372</v>
      </c>
      <c r="L3" s="1129" t="s">
        <v>372</v>
      </c>
      <c r="M3" s="1129" t="s">
        <v>372</v>
      </c>
      <c r="N3" s="1129" t="s">
        <v>372</v>
      </c>
      <c r="O3" s="1129" t="s">
        <v>372</v>
      </c>
      <c r="P3" s="1129" t="s">
        <v>372</v>
      </c>
      <c r="Q3" s="1129" t="s">
        <v>372</v>
      </c>
      <c r="R3" s="1129" t="s">
        <v>372</v>
      </c>
      <c r="S3" s="1129" t="s">
        <v>372</v>
      </c>
      <c r="T3" s="1129" t="s">
        <v>372</v>
      </c>
      <c r="U3" s="1129" t="s">
        <v>372</v>
      </c>
      <c r="V3" s="1129" t="s">
        <v>372</v>
      </c>
      <c r="W3" s="1129" t="s">
        <v>372</v>
      </c>
      <c r="X3" s="1129" t="s">
        <v>372</v>
      </c>
      <c r="Y3" s="1129" t="s">
        <v>372</v>
      </c>
      <c r="Z3" s="1129" t="s">
        <v>372</v>
      </c>
      <c r="AA3" s="1129" t="s">
        <v>372</v>
      </c>
      <c r="AB3" s="1129" t="s">
        <v>372</v>
      </c>
    </row>
    <row r="4" spans="1:28" ht="15" customHeight="1">
      <c r="A4" s="937" t="s">
        <v>24</v>
      </c>
      <c r="B4" s="940"/>
      <c r="C4" s="938"/>
      <c r="D4" s="939"/>
      <c r="E4" s="943"/>
      <c r="F4" s="939"/>
      <c r="G4" s="939"/>
      <c r="H4" s="946"/>
      <c r="I4" s="939"/>
      <c r="J4" s="939"/>
      <c r="K4" s="939"/>
      <c r="L4" s="939"/>
      <c r="M4" s="939"/>
      <c r="N4" s="939"/>
      <c r="O4" s="939"/>
      <c r="P4" s="939"/>
      <c r="Q4" s="939"/>
      <c r="R4" s="939"/>
      <c r="S4" s="939"/>
      <c r="T4" s="939"/>
      <c r="U4" s="939"/>
      <c r="V4" s="939"/>
      <c r="W4" s="939"/>
      <c r="X4" s="939"/>
      <c r="Y4" s="939"/>
      <c r="Z4" s="939"/>
      <c r="AA4" s="939"/>
      <c r="AB4" s="939"/>
    </row>
    <row r="5" spans="1:29" ht="17.25">
      <c r="A5" s="824" t="s">
        <v>25</v>
      </c>
      <c r="B5" s="936" t="s">
        <v>373</v>
      </c>
      <c r="C5" s="932">
        <v>75112612</v>
      </c>
      <c r="D5" s="934">
        <v>5688819</v>
      </c>
      <c r="E5" s="944">
        <v>12649372</v>
      </c>
      <c r="F5" s="934">
        <v>88571627</v>
      </c>
      <c r="G5" s="934">
        <v>20755020</v>
      </c>
      <c r="H5" s="947">
        <v>34907448</v>
      </c>
      <c r="I5" s="934">
        <v>18168603</v>
      </c>
      <c r="J5" s="949">
        <v>9193110</v>
      </c>
      <c r="K5" s="934">
        <v>28861970</v>
      </c>
      <c r="L5" s="934">
        <v>12431647</v>
      </c>
      <c r="M5" s="934">
        <f>50581083+142145723+99133435</f>
        <v>291860241</v>
      </c>
      <c r="N5" s="934">
        <v>309297742</v>
      </c>
      <c r="O5" s="954">
        <v>19325167</v>
      </c>
      <c r="P5" s="934">
        <v>32125521</v>
      </c>
      <c r="Q5" s="934">
        <v>81682903</v>
      </c>
      <c r="R5" s="934">
        <v>145752292</v>
      </c>
      <c r="S5" s="934">
        <v>47771966</v>
      </c>
      <c r="T5" s="934">
        <v>43579268</v>
      </c>
      <c r="U5" s="957"/>
      <c r="V5" s="958">
        <v>329894213</v>
      </c>
      <c r="W5" s="961">
        <v>16994624</v>
      </c>
      <c r="X5" s="955">
        <v>7833855</v>
      </c>
      <c r="Y5" s="934">
        <v>60697636</v>
      </c>
      <c r="Z5" s="935">
        <f>SUM(C5:Y5)</f>
        <v>1693155656</v>
      </c>
      <c r="AA5" s="955">
        <v>3375050711</v>
      </c>
      <c r="AB5" s="935">
        <f>SUM(Z5:AA5)</f>
        <v>5068206367</v>
      </c>
      <c r="AC5" s="941"/>
    </row>
    <row r="6" spans="1:28" ht="17.25">
      <c r="A6" s="824" t="s">
        <v>374</v>
      </c>
      <c r="B6" s="942"/>
      <c r="C6" s="932">
        <v>-2256358</v>
      </c>
      <c r="D6" s="934">
        <v>-508193</v>
      </c>
      <c r="E6" s="944">
        <f>--549992</f>
        <v>549992</v>
      </c>
      <c r="F6" s="934">
        <v>-531837</v>
      </c>
      <c r="G6" s="934">
        <v>-284302</v>
      </c>
      <c r="H6" s="947">
        <v>-403806</v>
      </c>
      <c r="I6" s="934">
        <v>-1254908</v>
      </c>
      <c r="J6" s="950">
        <v>-302258</v>
      </c>
      <c r="K6" s="934">
        <v>-746426</v>
      </c>
      <c r="L6" s="934">
        <v>-435699</v>
      </c>
      <c r="M6" s="934"/>
      <c r="N6" s="934">
        <v>-3514876</v>
      </c>
      <c r="O6" s="954">
        <v>-140312</v>
      </c>
      <c r="P6" s="934">
        <v>-547954</v>
      </c>
      <c r="Q6" s="934">
        <v>-1176430</v>
      </c>
      <c r="R6" s="934">
        <v>-1568507</v>
      </c>
      <c r="S6" s="934">
        <v>-1185573</v>
      </c>
      <c r="T6" s="934">
        <v>-222577</v>
      </c>
      <c r="U6" s="957"/>
      <c r="V6" s="958">
        <v>-990699</v>
      </c>
      <c r="W6" s="961">
        <v>-47078</v>
      </c>
      <c r="X6" s="955">
        <v>-41361</v>
      </c>
      <c r="Y6" s="934">
        <v>-1135303</v>
      </c>
      <c r="Z6" s="935">
        <f aca="true" t="shared" si="0" ref="Z6:Z59">SUM(C6:Y6)</f>
        <v>-16744465</v>
      </c>
      <c r="AA6" s="955">
        <v>-3196746</v>
      </c>
      <c r="AB6" s="935">
        <f aca="true" t="shared" si="1" ref="AB6:AB59">SUM(Z6:AA6)</f>
        <v>-19941211</v>
      </c>
    </row>
    <row r="7" spans="1:28" ht="17.25">
      <c r="A7" s="824" t="s">
        <v>375</v>
      </c>
      <c r="B7" s="942"/>
      <c r="C7" s="932"/>
      <c r="D7" s="934"/>
      <c r="E7" s="944"/>
      <c r="F7" s="934"/>
      <c r="G7" s="934"/>
      <c r="H7" s="947"/>
      <c r="I7" s="934"/>
      <c r="J7" s="950"/>
      <c r="K7" s="934"/>
      <c r="L7" s="934"/>
      <c r="M7" s="934">
        <v>-2620162</v>
      </c>
      <c r="N7" s="934"/>
      <c r="O7" s="954"/>
      <c r="P7" s="934"/>
      <c r="Q7" s="934"/>
      <c r="R7" s="934"/>
      <c r="S7" s="934"/>
      <c r="T7" s="934"/>
      <c r="U7" s="957"/>
      <c r="V7" s="916"/>
      <c r="W7" s="961"/>
      <c r="X7" s="955"/>
      <c r="Y7" s="934"/>
      <c r="Z7" s="935">
        <f t="shared" si="0"/>
        <v>-2620162</v>
      </c>
      <c r="AA7" s="955"/>
      <c r="AB7" s="935">
        <f t="shared" si="1"/>
        <v>-2620162</v>
      </c>
    </row>
    <row r="8" spans="1:28" ht="17.25">
      <c r="A8" s="936" t="s">
        <v>376</v>
      </c>
      <c r="B8" s="942"/>
      <c r="C8" s="932"/>
      <c r="D8" s="934"/>
      <c r="E8" s="944">
        <v>12099380</v>
      </c>
      <c r="F8" s="934"/>
      <c r="G8" s="934">
        <v>20470718</v>
      </c>
      <c r="H8" s="947"/>
      <c r="I8" s="934"/>
      <c r="J8" s="950"/>
      <c r="K8" s="934"/>
      <c r="L8" s="934"/>
      <c r="M8" s="934"/>
      <c r="N8" s="934"/>
      <c r="O8" s="954"/>
      <c r="P8" s="934"/>
      <c r="Q8" s="934"/>
      <c r="R8" s="934"/>
      <c r="S8" s="934"/>
      <c r="T8" s="934"/>
      <c r="U8" s="957"/>
      <c r="V8" s="959"/>
      <c r="W8" s="961"/>
      <c r="X8" s="955"/>
      <c r="Y8" s="934"/>
      <c r="Z8" s="935">
        <f t="shared" si="0"/>
        <v>32570098</v>
      </c>
      <c r="AA8" s="955"/>
      <c r="AB8" s="935">
        <f t="shared" si="1"/>
        <v>32570098</v>
      </c>
    </row>
    <row r="9" spans="1:28" ht="17.25">
      <c r="A9" s="936" t="s">
        <v>377</v>
      </c>
      <c r="B9" s="942"/>
      <c r="C9" s="933"/>
      <c r="D9" s="935"/>
      <c r="E9" s="945"/>
      <c r="F9" s="935"/>
      <c r="G9" s="935"/>
      <c r="H9" s="948"/>
      <c r="I9" s="935"/>
      <c r="J9" s="951"/>
      <c r="K9" s="935"/>
      <c r="L9" s="935"/>
      <c r="M9" s="935"/>
      <c r="N9" s="935"/>
      <c r="O9" s="954"/>
      <c r="P9" s="935"/>
      <c r="Q9" s="956"/>
      <c r="R9" s="935"/>
      <c r="S9" s="935"/>
      <c r="T9" s="935"/>
      <c r="U9" s="957"/>
      <c r="V9" s="916"/>
      <c r="W9" s="961"/>
      <c r="X9" s="955"/>
      <c r="Y9" s="935"/>
      <c r="Z9" s="935">
        <f t="shared" si="0"/>
        <v>0</v>
      </c>
      <c r="AA9" s="935"/>
      <c r="AB9" s="935">
        <f t="shared" si="1"/>
        <v>0</v>
      </c>
    </row>
    <row r="10" spans="1:28" ht="17.25">
      <c r="A10" s="824" t="s">
        <v>378</v>
      </c>
      <c r="B10" s="942"/>
      <c r="C10" s="932">
        <v>21344018</v>
      </c>
      <c r="D10" s="934">
        <v>1146045</v>
      </c>
      <c r="E10" s="944">
        <v>5442805</v>
      </c>
      <c r="F10" s="934">
        <v>22669497</v>
      </c>
      <c r="G10" s="934">
        <v>3189086</v>
      </c>
      <c r="H10" s="947">
        <v>6002631</v>
      </c>
      <c r="I10" s="934">
        <v>2343046</v>
      </c>
      <c r="J10" s="950">
        <v>1030285</v>
      </c>
      <c r="K10" s="934">
        <v>8145134</v>
      </c>
      <c r="L10" s="934">
        <v>2285707</v>
      </c>
      <c r="M10" s="934">
        <v>56791675</v>
      </c>
      <c r="N10" s="934">
        <v>52438342</v>
      </c>
      <c r="O10" s="934">
        <v>4854190</v>
      </c>
      <c r="P10" s="934">
        <v>7422881</v>
      </c>
      <c r="Q10" s="934">
        <v>13636477</v>
      </c>
      <c r="R10" s="934">
        <v>32064793</v>
      </c>
      <c r="S10" s="934">
        <v>11352021</v>
      </c>
      <c r="T10" s="934">
        <v>10517322</v>
      </c>
      <c r="U10" s="957"/>
      <c r="V10" s="958">
        <v>72915898</v>
      </c>
      <c r="W10" s="961">
        <v>2170065</v>
      </c>
      <c r="X10" s="955">
        <v>1202858</v>
      </c>
      <c r="Y10" s="935">
        <v>12372692</v>
      </c>
      <c r="Z10" s="935">
        <f t="shared" si="0"/>
        <v>351337468</v>
      </c>
      <c r="AA10" s="955">
        <v>1978936043</v>
      </c>
      <c r="AB10" s="935">
        <f t="shared" si="1"/>
        <v>2330273511</v>
      </c>
    </row>
    <row r="11" spans="1:28" ht="17.25">
      <c r="A11" s="824" t="s">
        <v>379</v>
      </c>
      <c r="B11" s="942"/>
      <c r="C11" s="932">
        <v>14560595</v>
      </c>
      <c r="D11" s="934">
        <v>937169</v>
      </c>
      <c r="E11" s="944">
        <v>4288949</v>
      </c>
      <c r="F11" s="934">
        <v>21597572</v>
      </c>
      <c r="G11" s="934">
        <v>1607509</v>
      </c>
      <c r="H11" s="947">
        <v>8933819</v>
      </c>
      <c r="I11" s="934">
        <v>258364</v>
      </c>
      <c r="J11" s="950">
        <v>822045</v>
      </c>
      <c r="K11" s="934">
        <v>2152184</v>
      </c>
      <c r="L11" s="934">
        <v>367658</v>
      </c>
      <c r="M11" s="934">
        <v>32852328</v>
      </c>
      <c r="N11" s="934">
        <v>76175000</v>
      </c>
      <c r="O11" s="934">
        <v>2041225</v>
      </c>
      <c r="P11" s="934">
        <v>3391388</v>
      </c>
      <c r="Q11" s="934">
        <v>12231245</v>
      </c>
      <c r="R11" s="934">
        <v>21579840</v>
      </c>
      <c r="S11" s="934">
        <v>5156501</v>
      </c>
      <c r="T11" s="934">
        <v>7548313</v>
      </c>
      <c r="U11" s="957"/>
      <c r="V11" s="958">
        <v>32799602</v>
      </c>
      <c r="W11" s="961">
        <v>1198440</v>
      </c>
      <c r="X11" s="955">
        <v>1075356</v>
      </c>
      <c r="Y11" s="934">
        <v>13489026</v>
      </c>
      <c r="Z11" s="935">
        <f t="shared" si="0"/>
        <v>265064128</v>
      </c>
      <c r="AA11" s="955">
        <v>299566321</v>
      </c>
      <c r="AB11" s="935">
        <f t="shared" si="1"/>
        <v>564630449</v>
      </c>
    </row>
    <row r="12" spans="1:28" ht="17.25">
      <c r="A12" s="824" t="s">
        <v>380</v>
      </c>
      <c r="B12" s="942"/>
      <c r="C12" s="932">
        <v>-8402697</v>
      </c>
      <c r="D12" s="934">
        <v>-395083</v>
      </c>
      <c r="E12" s="944">
        <v>-1971277</v>
      </c>
      <c r="F12" s="934">
        <v>-8307556</v>
      </c>
      <c r="G12" s="934">
        <v>-434894</v>
      </c>
      <c r="H12" s="947">
        <v>-2648597</v>
      </c>
      <c r="I12" s="934">
        <v>-31100</v>
      </c>
      <c r="J12" s="950">
        <v>-894950</v>
      </c>
      <c r="K12" s="934">
        <v>-1384006</v>
      </c>
      <c r="L12" s="934">
        <v>-274284</v>
      </c>
      <c r="M12" s="934">
        <v>-9503052</v>
      </c>
      <c r="N12" s="934">
        <v>-43309644</v>
      </c>
      <c r="O12" s="934">
        <v>-1984670</v>
      </c>
      <c r="P12" s="934">
        <v>-1044015</v>
      </c>
      <c r="Q12" s="934">
        <v>-7315653</v>
      </c>
      <c r="R12" s="934">
        <v>-8572289</v>
      </c>
      <c r="S12" s="934">
        <v>-1048933</v>
      </c>
      <c r="T12" s="934">
        <v>-3673772</v>
      </c>
      <c r="U12" s="957"/>
      <c r="V12" s="958">
        <v>-17748215</v>
      </c>
      <c r="W12" s="961">
        <v>-256588</v>
      </c>
      <c r="X12" s="955">
        <v>-196042</v>
      </c>
      <c r="Y12" s="934">
        <v>-6282951</v>
      </c>
      <c r="Z12" s="935">
        <f t="shared" si="0"/>
        <v>-125680268</v>
      </c>
      <c r="AA12" s="955">
        <v>-62765157</v>
      </c>
      <c r="AB12" s="935">
        <f t="shared" si="1"/>
        <v>-188445425</v>
      </c>
    </row>
    <row r="13" spans="1:28" ht="17.25">
      <c r="A13" s="824" t="s">
        <v>381</v>
      </c>
      <c r="B13" s="942"/>
      <c r="C13" s="932">
        <v>2581288</v>
      </c>
      <c r="D13" s="934">
        <v>235157</v>
      </c>
      <c r="E13" s="944">
        <v>30194</v>
      </c>
      <c r="F13" s="934">
        <v>609588</v>
      </c>
      <c r="G13" s="934">
        <v>-119184</v>
      </c>
      <c r="H13" s="947">
        <v>-1744049</v>
      </c>
      <c r="I13" s="934">
        <v>199901</v>
      </c>
      <c r="J13" s="950">
        <v>335100</v>
      </c>
      <c r="K13" s="934">
        <v>786354</v>
      </c>
      <c r="L13" s="934">
        <v>299930</v>
      </c>
      <c r="M13" s="934">
        <v>10389210</v>
      </c>
      <c r="N13" s="934">
        <v>9793860</v>
      </c>
      <c r="O13" s="934">
        <v>1177741</v>
      </c>
      <c r="P13" s="934">
        <v>1054272</v>
      </c>
      <c r="Q13" s="934">
        <v>3362241</v>
      </c>
      <c r="R13" s="934">
        <v>2901123</v>
      </c>
      <c r="S13" s="934">
        <v>501172</v>
      </c>
      <c r="T13" s="934">
        <v>784840</v>
      </c>
      <c r="U13" s="957"/>
      <c r="V13" s="958">
        <v>20550886</v>
      </c>
      <c r="W13" s="961"/>
      <c r="X13" s="955"/>
      <c r="Y13" s="934">
        <v>594555</v>
      </c>
      <c r="Z13" s="935">
        <f t="shared" si="0"/>
        <v>54324179</v>
      </c>
      <c r="AA13" s="955">
        <v>11840146</v>
      </c>
      <c r="AB13" s="935">
        <f t="shared" si="1"/>
        <v>66164325</v>
      </c>
    </row>
    <row r="14" spans="1:28" ht="17.25">
      <c r="A14" s="824" t="s">
        <v>382</v>
      </c>
      <c r="B14" s="942"/>
      <c r="C14" s="933"/>
      <c r="D14" s="935">
        <v>136196</v>
      </c>
      <c r="E14" s="945"/>
      <c r="F14" s="935">
        <v>2507790</v>
      </c>
      <c r="G14" s="935"/>
      <c r="H14" s="948"/>
      <c r="I14" s="935">
        <v>-52694</v>
      </c>
      <c r="J14" s="951">
        <v>71318</v>
      </c>
      <c r="K14" s="935"/>
      <c r="L14" s="935"/>
      <c r="M14" s="935">
        <v>-255285</v>
      </c>
      <c r="N14" s="935">
        <v>7046803</v>
      </c>
      <c r="O14" s="954">
        <v>189262</v>
      </c>
      <c r="P14" s="935">
        <v>800389</v>
      </c>
      <c r="Q14" s="956"/>
      <c r="R14" s="935">
        <v>669587</v>
      </c>
      <c r="S14" s="935"/>
      <c r="T14" s="935">
        <v>1380770</v>
      </c>
      <c r="U14" s="957"/>
      <c r="V14" s="958">
        <v>3561363</v>
      </c>
      <c r="W14" s="961">
        <v>25683</v>
      </c>
      <c r="X14" s="955">
        <v>243607</v>
      </c>
      <c r="Y14" s="935"/>
      <c r="Z14" s="935">
        <f t="shared" si="0"/>
        <v>16324789</v>
      </c>
      <c r="AA14" s="935"/>
      <c r="AB14" s="935">
        <f t="shared" si="1"/>
        <v>16324789</v>
      </c>
    </row>
    <row r="15" spans="1:28" ht="17.25">
      <c r="A15" s="824" t="s">
        <v>457</v>
      </c>
      <c r="B15" s="942"/>
      <c r="C15" s="933"/>
      <c r="D15" s="935"/>
      <c r="E15" s="945"/>
      <c r="F15" s="935"/>
      <c r="G15" s="935"/>
      <c r="H15" s="948"/>
      <c r="I15" s="935"/>
      <c r="J15" s="951"/>
      <c r="K15" s="935"/>
      <c r="L15" s="935"/>
      <c r="M15" s="935"/>
      <c r="N15" s="935"/>
      <c r="O15" s="954"/>
      <c r="P15" s="935"/>
      <c r="Q15" s="956"/>
      <c r="R15" s="935"/>
      <c r="S15" s="935"/>
      <c r="T15" s="935"/>
      <c r="U15" s="957"/>
      <c r="V15" s="958"/>
      <c r="W15" s="961">
        <v>-522588</v>
      </c>
      <c r="X15" s="955"/>
      <c r="Y15" s="935"/>
      <c r="Z15" s="935"/>
      <c r="AA15" s="935"/>
      <c r="AB15" s="935"/>
    </row>
    <row r="16" spans="1:28" ht="17.25">
      <c r="A16" s="936" t="s">
        <v>383</v>
      </c>
      <c r="B16" s="942"/>
      <c r="C16" s="932"/>
      <c r="D16" s="934"/>
      <c r="E16" s="944"/>
      <c r="F16" s="934"/>
      <c r="G16" s="934"/>
      <c r="H16" s="947"/>
      <c r="I16" s="934"/>
      <c r="J16" s="950"/>
      <c r="K16" s="934"/>
      <c r="L16" s="934"/>
      <c r="M16" s="934"/>
      <c r="N16" s="934"/>
      <c r="O16" s="954"/>
      <c r="P16" s="934"/>
      <c r="Q16" s="934"/>
      <c r="R16" s="934"/>
      <c r="S16" s="934"/>
      <c r="T16" s="934"/>
      <c r="U16" s="957"/>
      <c r="V16" s="916"/>
      <c r="W16" s="961"/>
      <c r="X16" s="955"/>
      <c r="Y16" s="934"/>
      <c r="Z16" s="935">
        <f t="shared" si="0"/>
        <v>0</v>
      </c>
      <c r="AA16" s="934"/>
      <c r="AB16" s="935">
        <f t="shared" si="1"/>
        <v>0</v>
      </c>
    </row>
    <row r="17" spans="1:28" ht="17.25">
      <c r="A17" s="824" t="s">
        <v>384</v>
      </c>
      <c r="B17" s="942"/>
      <c r="C17" s="932">
        <v>1392155</v>
      </c>
      <c r="D17" s="934">
        <v>170000</v>
      </c>
      <c r="E17" s="944">
        <v>102139</v>
      </c>
      <c r="F17" s="934">
        <v>3763859</v>
      </c>
      <c r="G17" s="934"/>
      <c r="H17" s="947">
        <v>68631</v>
      </c>
      <c r="I17" s="934">
        <v>125705</v>
      </c>
      <c r="J17" s="950">
        <v>1413897</v>
      </c>
      <c r="K17" s="934">
        <v>34968</v>
      </c>
      <c r="L17" s="934">
        <v>-833272</v>
      </c>
      <c r="M17" s="934">
        <v>3089502</v>
      </c>
      <c r="N17" s="934">
        <v>5272030</v>
      </c>
      <c r="O17" s="954"/>
      <c r="P17" s="934">
        <v>1004429</v>
      </c>
      <c r="Q17" s="934">
        <v>172231</v>
      </c>
      <c r="R17" s="934">
        <v>120347</v>
      </c>
      <c r="S17" s="934">
        <v>756411</v>
      </c>
      <c r="T17" s="934">
        <v>1223252</v>
      </c>
      <c r="U17" s="957"/>
      <c r="V17" s="916">
        <v>989153</v>
      </c>
      <c r="W17" s="961">
        <v>1182</v>
      </c>
      <c r="X17" s="955"/>
      <c r="Y17" s="934">
        <v>1861371</v>
      </c>
      <c r="Z17" s="935">
        <f t="shared" si="0"/>
        <v>20727990</v>
      </c>
      <c r="AA17" s="934"/>
      <c r="AB17" s="935">
        <f t="shared" si="1"/>
        <v>20727990</v>
      </c>
    </row>
    <row r="18" spans="1:28" ht="17.25">
      <c r="A18" s="824" t="s">
        <v>385</v>
      </c>
      <c r="B18" s="942"/>
      <c r="C18" s="932"/>
      <c r="D18" s="934"/>
      <c r="E18" s="944"/>
      <c r="F18" s="934">
        <v>442653</v>
      </c>
      <c r="G18" s="934"/>
      <c r="H18" s="947"/>
      <c r="I18" s="934"/>
      <c r="J18" s="950">
        <v>1406</v>
      </c>
      <c r="K18" s="934"/>
      <c r="L18" s="934"/>
      <c r="M18" s="934">
        <v>522534</v>
      </c>
      <c r="N18" s="934">
        <v>507748</v>
      </c>
      <c r="O18" s="954"/>
      <c r="P18" s="934"/>
      <c r="Q18" s="934">
        <v>25098</v>
      </c>
      <c r="R18" s="934"/>
      <c r="S18" s="934"/>
      <c r="T18" s="934"/>
      <c r="U18" s="957"/>
      <c r="V18" s="958">
        <v>353646</v>
      </c>
      <c r="W18" s="961"/>
      <c r="X18" s="955"/>
      <c r="Y18" s="934"/>
      <c r="Z18" s="935">
        <f t="shared" si="0"/>
        <v>1853085</v>
      </c>
      <c r="AA18" s="934"/>
      <c r="AB18" s="935">
        <f t="shared" si="1"/>
        <v>1853085</v>
      </c>
    </row>
    <row r="19" spans="1:28" ht="17.25">
      <c r="A19" s="824" t="s">
        <v>386</v>
      </c>
      <c r="B19" s="942"/>
      <c r="C19" s="932">
        <v>433357</v>
      </c>
      <c r="D19" s="934">
        <v>624</v>
      </c>
      <c r="E19" s="944">
        <f>424941+12529</f>
        <v>437470</v>
      </c>
      <c r="F19" s="934">
        <v>451976</v>
      </c>
      <c r="G19" s="934">
        <f>22345+5723</f>
        <v>28068</v>
      </c>
      <c r="H19" s="947">
        <v>100548</v>
      </c>
      <c r="I19" s="934">
        <v>10795</v>
      </c>
      <c r="J19" s="950">
        <v>19461</v>
      </c>
      <c r="K19" s="934">
        <v>72070</v>
      </c>
      <c r="L19" s="934"/>
      <c r="M19" s="934">
        <v>1228082</v>
      </c>
      <c r="N19" s="934">
        <f>258835+36767</f>
        <v>295602</v>
      </c>
      <c r="O19" s="954">
        <v>7738</v>
      </c>
      <c r="P19" s="934">
        <v>18224</v>
      </c>
      <c r="Q19" s="934">
        <f>53746+2102</f>
        <v>55848</v>
      </c>
      <c r="R19" s="934">
        <v>319721</v>
      </c>
      <c r="S19" s="934">
        <f>212437+49641-765</f>
        <v>261313</v>
      </c>
      <c r="T19" s="934">
        <v>164895</v>
      </c>
      <c r="U19" s="957"/>
      <c r="V19" s="958">
        <v>284679</v>
      </c>
      <c r="W19" s="961">
        <v>46712</v>
      </c>
      <c r="X19" s="955">
        <v>11954</v>
      </c>
      <c r="Y19" s="934">
        <f>26908+301869+279+1946+265433</f>
        <v>596435</v>
      </c>
      <c r="Z19" s="935">
        <f t="shared" si="0"/>
        <v>4845572</v>
      </c>
      <c r="AA19" s="934">
        <f>635051+7777559</f>
        <v>8412610</v>
      </c>
      <c r="AB19" s="935">
        <f t="shared" si="1"/>
        <v>13258182</v>
      </c>
    </row>
    <row r="20" spans="1:28" ht="17.25">
      <c r="A20" s="936" t="s">
        <v>376</v>
      </c>
      <c r="B20" s="942"/>
      <c r="C20" s="933"/>
      <c r="D20" s="935"/>
      <c r="E20" s="945"/>
      <c r="F20" s="935"/>
      <c r="G20" s="935"/>
      <c r="H20" s="948"/>
      <c r="I20" s="935"/>
      <c r="J20" s="951"/>
      <c r="K20" s="935"/>
      <c r="L20" s="935"/>
      <c r="M20" s="935"/>
      <c r="N20" s="935"/>
      <c r="O20" s="954"/>
      <c r="P20" s="935"/>
      <c r="Q20" s="956"/>
      <c r="R20" s="935"/>
      <c r="S20" s="935"/>
      <c r="T20" s="935"/>
      <c r="U20" s="957"/>
      <c r="V20" s="959"/>
      <c r="W20" s="961"/>
      <c r="X20" s="955"/>
      <c r="Y20" s="935"/>
      <c r="Z20" s="935">
        <f t="shared" si="0"/>
        <v>0</v>
      </c>
      <c r="AA20" s="935"/>
      <c r="AB20" s="935">
        <f t="shared" si="1"/>
        <v>0</v>
      </c>
    </row>
    <row r="21" spans="1:28" s="1420" customFormat="1" ht="18">
      <c r="A21" s="936" t="s">
        <v>23</v>
      </c>
      <c r="B21" s="1415"/>
      <c r="C21" s="933"/>
      <c r="D21" s="935"/>
      <c r="E21" s="945">
        <v>20429660</v>
      </c>
      <c r="F21" s="935">
        <v>131775169</v>
      </c>
      <c r="G21" s="935">
        <v>24741303</v>
      </c>
      <c r="H21" s="948"/>
      <c r="I21" s="935"/>
      <c r="J21" s="952"/>
      <c r="K21" s="935"/>
      <c r="L21" s="935">
        <v>5217088</v>
      </c>
      <c r="M21" s="935"/>
      <c r="N21" s="935"/>
      <c r="O21" s="1416"/>
      <c r="P21" s="935"/>
      <c r="Q21" s="935">
        <v>102673960</v>
      </c>
      <c r="R21" s="935"/>
      <c r="S21" s="935"/>
      <c r="T21" s="935"/>
      <c r="U21" s="1417"/>
      <c r="V21" s="959"/>
      <c r="W21" s="1418">
        <v>19610452</v>
      </c>
      <c r="X21" s="1419"/>
      <c r="Y21" s="935">
        <v>82193461</v>
      </c>
      <c r="Z21" s="935">
        <f t="shared" si="0"/>
        <v>386641093</v>
      </c>
      <c r="AA21" s="1419">
        <v>5607843938</v>
      </c>
      <c r="AB21" s="935">
        <f t="shared" si="1"/>
        <v>5994485031</v>
      </c>
    </row>
    <row r="22" spans="1:28" ht="17.25">
      <c r="A22" s="824" t="s">
        <v>63</v>
      </c>
      <c r="B22" s="936" t="s">
        <v>387</v>
      </c>
      <c r="C22" s="932">
        <v>4177498</v>
      </c>
      <c r="D22" s="934">
        <v>41420</v>
      </c>
      <c r="E22" s="944">
        <v>205092</v>
      </c>
      <c r="F22" s="934">
        <v>3029097</v>
      </c>
      <c r="G22" s="934">
        <v>1719981</v>
      </c>
      <c r="H22" s="947">
        <v>1850047</v>
      </c>
      <c r="I22" s="934">
        <v>813515</v>
      </c>
      <c r="J22" s="950">
        <v>595895</v>
      </c>
      <c r="K22" s="934">
        <v>1852772</v>
      </c>
      <c r="L22" s="934">
        <v>509727</v>
      </c>
      <c r="M22" s="934">
        <f>7839356+2137182+1200257</f>
        <v>11176795</v>
      </c>
      <c r="N22" s="934">
        <v>15512890</v>
      </c>
      <c r="O22" s="954">
        <v>1072405</v>
      </c>
      <c r="P22" s="934">
        <v>1150481</v>
      </c>
      <c r="Q22" s="934">
        <f>3204019+1314552+228676</f>
        <v>4747247</v>
      </c>
      <c r="R22" s="934">
        <v>9888415</v>
      </c>
      <c r="S22" s="934">
        <v>2507706</v>
      </c>
      <c r="T22" s="934">
        <v>1733563</v>
      </c>
      <c r="U22" s="957"/>
      <c r="V22" s="958">
        <v>13463471</v>
      </c>
      <c r="W22" s="961">
        <v>1059321</v>
      </c>
      <c r="X22" s="955">
        <v>566455</v>
      </c>
      <c r="Y22" s="934">
        <v>5638549</v>
      </c>
      <c r="Z22" s="935">
        <f t="shared" si="0"/>
        <v>83312342</v>
      </c>
      <c r="AA22" s="955">
        <v>193111938</v>
      </c>
      <c r="AB22" s="935">
        <f t="shared" si="1"/>
        <v>276424280</v>
      </c>
    </row>
    <row r="23" spans="1:28" ht="17.25">
      <c r="A23" s="824" t="s">
        <v>388</v>
      </c>
      <c r="B23" s="936" t="s">
        <v>389</v>
      </c>
      <c r="C23" s="932">
        <v>11003413</v>
      </c>
      <c r="D23" s="934">
        <v>1643873</v>
      </c>
      <c r="E23" s="944">
        <v>2417784</v>
      </c>
      <c r="F23" s="934">
        <v>15582897</v>
      </c>
      <c r="G23" s="934">
        <v>4528832</v>
      </c>
      <c r="H23" s="947">
        <v>4074133</v>
      </c>
      <c r="I23" s="934">
        <v>53535333</v>
      </c>
      <c r="J23" s="950">
        <v>3062183</v>
      </c>
      <c r="K23" s="934"/>
      <c r="L23" s="934">
        <v>3537538</v>
      </c>
      <c r="M23" s="934">
        <v>38135732</v>
      </c>
      <c r="N23" s="934">
        <v>26053211</v>
      </c>
      <c r="O23" s="954">
        <v>2564781</v>
      </c>
      <c r="P23" s="934">
        <v>3420003</v>
      </c>
      <c r="Q23" s="934">
        <v>13297360</v>
      </c>
      <c r="R23" s="934">
        <v>19273633</v>
      </c>
      <c r="S23" s="934">
        <v>9064652</v>
      </c>
      <c r="T23" s="934">
        <v>8959679</v>
      </c>
      <c r="U23" s="957"/>
      <c r="V23" s="958">
        <v>21235030</v>
      </c>
      <c r="W23" s="961">
        <v>4133438</v>
      </c>
      <c r="X23" s="955">
        <v>752269</v>
      </c>
      <c r="Y23" s="934">
        <v>12782095</v>
      </c>
      <c r="Z23" s="935">
        <f t="shared" si="0"/>
        <v>259057869</v>
      </c>
      <c r="AA23" s="955">
        <v>291820168</v>
      </c>
      <c r="AB23" s="935">
        <f t="shared" si="1"/>
        <v>550878037</v>
      </c>
    </row>
    <row r="24" spans="1:28" ht="17.25">
      <c r="A24" s="824" t="s">
        <v>447</v>
      </c>
      <c r="B24" s="936"/>
      <c r="C24" s="932"/>
      <c r="D24" s="934"/>
      <c r="E24" s="944"/>
      <c r="F24" s="934"/>
      <c r="G24" s="934"/>
      <c r="H24" s="947"/>
      <c r="I24" s="934">
        <v>-1452477</v>
      </c>
      <c r="J24" s="950"/>
      <c r="K24" s="934"/>
      <c r="L24" s="934"/>
      <c r="M24" s="934"/>
      <c r="N24" s="934"/>
      <c r="O24" s="954"/>
      <c r="P24" s="934"/>
      <c r="Q24" s="934"/>
      <c r="R24" s="934"/>
      <c r="S24" s="934"/>
      <c r="T24" s="934"/>
      <c r="U24" s="957"/>
      <c r="V24" s="958"/>
      <c r="W24" s="961"/>
      <c r="X24" s="955"/>
      <c r="Y24" s="934"/>
      <c r="Z24" s="935">
        <f t="shared" si="0"/>
        <v>-1452477</v>
      </c>
      <c r="AA24" s="955">
        <v>10899</v>
      </c>
      <c r="AB24" s="935">
        <f t="shared" si="1"/>
        <v>-1441578</v>
      </c>
    </row>
    <row r="25" spans="1:28" ht="17.25">
      <c r="A25" s="824" t="s">
        <v>390</v>
      </c>
      <c r="B25" s="942"/>
      <c r="C25" s="932">
        <v>2652</v>
      </c>
      <c r="D25" s="934"/>
      <c r="E25" s="944">
        <v>153202</v>
      </c>
      <c r="F25" s="934">
        <v>2277</v>
      </c>
      <c r="G25" s="934">
        <v>25594</v>
      </c>
      <c r="H25" s="947">
        <v>175</v>
      </c>
      <c r="I25" s="934"/>
      <c r="J25" s="950">
        <v>2145</v>
      </c>
      <c r="K25" s="934">
        <v>5829454</v>
      </c>
      <c r="L25" s="934">
        <v>10013</v>
      </c>
      <c r="M25" s="934"/>
      <c r="N25" s="934">
        <v>-37461</v>
      </c>
      <c r="O25" s="954">
        <v>1003</v>
      </c>
      <c r="P25" s="934"/>
      <c r="Q25" s="934"/>
      <c r="R25" s="934">
        <v>4119</v>
      </c>
      <c r="S25" s="934"/>
      <c r="T25" s="934"/>
      <c r="U25" s="957"/>
      <c r="V25" s="958">
        <v>8478</v>
      </c>
      <c r="W25" s="961"/>
      <c r="X25" s="955">
        <v>-1540</v>
      </c>
      <c r="Y25" s="934"/>
      <c r="Z25" s="935">
        <f t="shared" si="0"/>
        <v>6000111</v>
      </c>
      <c r="AA25" s="955">
        <v>34714948</v>
      </c>
      <c r="AB25" s="935">
        <f t="shared" si="1"/>
        <v>40715059</v>
      </c>
    </row>
    <row r="26" spans="1:28" ht="17.25">
      <c r="A26" s="824" t="s">
        <v>391</v>
      </c>
      <c r="B26" s="942"/>
      <c r="C26" s="933"/>
      <c r="D26" s="935">
        <v>2727</v>
      </c>
      <c r="E26" s="945"/>
      <c r="F26" s="935">
        <v>1782</v>
      </c>
      <c r="G26" s="935">
        <v>8368</v>
      </c>
      <c r="H26" s="948"/>
      <c r="I26" s="935"/>
      <c r="J26" s="951"/>
      <c r="K26" s="935"/>
      <c r="L26" s="935">
        <v>606</v>
      </c>
      <c r="M26" s="935"/>
      <c r="N26" s="935">
        <v>36138</v>
      </c>
      <c r="O26" s="954">
        <v>2256</v>
      </c>
      <c r="P26" s="935"/>
      <c r="Q26" s="956"/>
      <c r="R26" s="935">
        <v>13379</v>
      </c>
      <c r="S26" s="935"/>
      <c r="T26" s="935"/>
      <c r="U26" s="957"/>
      <c r="V26" s="960">
        <v>2786</v>
      </c>
      <c r="W26" s="961"/>
      <c r="X26" s="955">
        <v>2482</v>
      </c>
      <c r="Y26" s="935"/>
      <c r="Z26" s="935">
        <f t="shared" si="0"/>
        <v>70524</v>
      </c>
      <c r="AA26" s="935"/>
      <c r="AB26" s="935">
        <f t="shared" si="1"/>
        <v>70524</v>
      </c>
    </row>
    <row r="27" spans="1:28" ht="17.25">
      <c r="A27" s="824" t="s">
        <v>392</v>
      </c>
      <c r="B27" s="942"/>
      <c r="C27" s="932">
        <v>240365</v>
      </c>
      <c r="D27" s="934"/>
      <c r="E27" s="944"/>
      <c r="F27" s="934"/>
      <c r="G27" s="934"/>
      <c r="H27" s="947"/>
      <c r="I27" s="934"/>
      <c r="J27" s="950"/>
      <c r="K27" s="934"/>
      <c r="L27" s="934"/>
      <c r="M27" s="934">
        <v>2267885</v>
      </c>
      <c r="N27" s="934"/>
      <c r="O27" s="954">
        <v>296162</v>
      </c>
      <c r="P27" s="934"/>
      <c r="Q27" s="934">
        <v>602670</v>
      </c>
      <c r="R27" s="934"/>
      <c r="S27" s="934">
        <v>191282</v>
      </c>
      <c r="T27" s="934"/>
      <c r="U27" s="957"/>
      <c r="V27" s="916"/>
      <c r="W27" s="961">
        <v>339985</v>
      </c>
      <c r="X27" s="955">
        <v>4705</v>
      </c>
      <c r="Y27" s="934">
        <v>184476</v>
      </c>
      <c r="Z27" s="935">
        <f t="shared" si="0"/>
        <v>4127530</v>
      </c>
      <c r="AA27" s="955">
        <v>77218378</v>
      </c>
      <c r="AB27" s="935">
        <f t="shared" si="1"/>
        <v>81345908</v>
      </c>
    </row>
    <row r="28" spans="1:28" ht="17.25">
      <c r="A28" s="824" t="s">
        <v>393</v>
      </c>
      <c r="B28" s="942"/>
      <c r="C28" s="932"/>
      <c r="D28" s="934"/>
      <c r="E28" s="944"/>
      <c r="F28" s="934"/>
      <c r="G28" s="934"/>
      <c r="H28" s="947"/>
      <c r="I28" s="934"/>
      <c r="J28" s="950"/>
      <c r="K28" s="934"/>
      <c r="L28" s="934"/>
      <c r="M28" s="934"/>
      <c r="N28" s="934"/>
      <c r="O28" s="954"/>
      <c r="P28" s="934"/>
      <c r="Q28" s="934"/>
      <c r="R28" s="934"/>
      <c r="S28" s="934"/>
      <c r="T28" s="934"/>
      <c r="U28" s="957"/>
      <c r="V28" s="958">
        <v>2686884</v>
      </c>
      <c r="W28" s="961"/>
      <c r="X28" s="955"/>
      <c r="Y28" s="934"/>
      <c r="Z28" s="935">
        <f t="shared" si="0"/>
        <v>2686884</v>
      </c>
      <c r="AA28" s="955"/>
      <c r="AB28" s="935">
        <f t="shared" si="1"/>
        <v>2686884</v>
      </c>
    </row>
    <row r="29" spans="1:28" ht="17.25">
      <c r="A29" s="824" t="s">
        <v>394</v>
      </c>
      <c r="B29" s="942"/>
      <c r="C29" s="932">
        <v>-163</v>
      </c>
      <c r="D29" s="934"/>
      <c r="E29" s="944"/>
      <c r="F29" s="934"/>
      <c r="G29" s="934"/>
      <c r="H29" s="947">
        <v>125000</v>
      </c>
      <c r="I29" s="934"/>
      <c r="J29" s="950"/>
      <c r="K29" s="934"/>
      <c r="L29" s="934"/>
      <c r="M29" s="934"/>
      <c r="N29" s="934"/>
      <c r="O29" s="954"/>
      <c r="P29" s="934"/>
      <c r="Q29" s="934"/>
      <c r="R29" s="934"/>
      <c r="S29" s="934">
        <v>-1793</v>
      </c>
      <c r="T29" s="934"/>
      <c r="U29" s="957"/>
      <c r="V29" s="916"/>
      <c r="W29" s="961"/>
      <c r="X29" s="955"/>
      <c r="Y29" s="934"/>
      <c r="Z29" s="935">
        <f t="shared" si="0"/>
        <v>123044</v>
      </c>
      <c r="AA29" s="955"/>
      <c r="AB29" s="935">
        <f t="shared" si="1"/>
        <v>123044</v>
      </c>
    </row>
    <row r="30" spans="1:28" ht="17.25">
      <c r="A30" s="824" t="s">
        <v>395</v>
      </c>
      <c r="B30" s="942"/>
      <c r="C30" s="932"/>
      <c r="D30" s="934">
        <v>30000</v>
      </c>
      <c r="E30" s="944"/>
      <c r="F30" s="934">
        <v>662605</v>
      </c>
      <c r="G30" s="934"/>
      <c r="H30" s="947"/>
      <c r="I30" s="934">
        <v>40153</v>
      </c>
      <c r="J30" s="950"/>
      <c r="K30" s="934"/>
      <c r="L30" s="934"/>
      <c r="M30" s="934">
        <v>740669</v>
      </c>
      <c r="N30" s="934"/>
      <c r="O30" s="954">
        <v>290081</v>
      </c>
      <c r="P30" s="934">
        <v>450000</v>
      </c>
      <c r="Q30" s="934">
        <v>82790</v>
      </c>
      <c r="R30" s="934"/>
      <c r="S30" s="934"/>
      <c r="T30" s="934">
        <v>483782</v>
      </c>
      <c r="U30" s="957"/>
      <c r="V30" s="958">
        <v>960782</v>
      </c>
      <c r="W30" s="961">
        <v>150000</v>
      </c>
      <c r="X30" s="955"/>
      <c r="Y30" s="934">
        <v>-13733</v>
      </c>
      <c r="Z30" s="935">
        <f t="shared" si="0"/>
        <v>3877129</v>
      </c>
      <c r="AA30" s="955">
        <v>13408462</v>
      </c>
      <c r="AB30" s="935">
        <f t="shared" si="1"/>
        <v>17285591</v>
      </c>
    </row>
    <row r="31" spans="1:28" ht="17.25">
      <c r="A31" s="824" t="s">
        <v>396</v>
      </c>
      <c r="B31" s="942"/>
      <c r="C31" s="933"/>
      <c r="D31" s="935"/>
      <c r="E31" s="945"/>
      <c r="F31" s="935">
        <v>-3177</v>
      </c>
      <c r="G31" s="935"/>
      <c r="H31" s="948"/>
      <c r="I31" s="935"/>
      <c r="J31" s="951"/>
      <c r="K31" s="935"/>
      <c r="L31" s="935"/>
      <c r="M31" s="935">
        <v>164961</v>
      </c>
      <c r="N31" s="935"/>
      <c r="O31" s="954"/>
      <c r="P31" s="935"/>
      <c r="Q31" s="956">
        <v>-1942</v>
      </c>
      <c r="R31" s="935"/>
      <c r="S31" s="935"/>
      <c r="T31" s="935"/>
      <c r="U31" s="957"/>
      <c r="V31" s="960">
        <v>-800</v>
      </c>
      <c r="W31" s="961"/>
      <c r="X31" s="955"/>
      <c r="Y31" s="935"/>
      <c r="Z31" s="935">
        <f t="shared" si="0"/>
        <v>159042</v>
      </c>
      <c r="AA31" s="935">
        <v>22082015</v>
      </c>
      <c r="AB31" s="935">
        <f t="shared" si="1"/>
        <v>22241057</v>
      </c>
    </row>
    <row r="32" spans="1:28" ht="17.25">
      <c r="A32" s="824" t="s">
        <v>397</v>
      </c>
      <c r="B32" s="942"/>
      <c r="C32" s="932">
        <v>1122091</v>
      </c>
      <c r="D32" s="934">
        <v>38921</v>
      </c>
      <c r="E32" s="944">
        <v>205092</v>
      </c>
      <c r="F32" s="934">
        <v>1172040</v>
      </c>
      <c r="G32" s="934">
        <v>42166</v>
      </c>
      <c r="H32" s="947">
        <v>538512</v>
      </c>
      <c r="I32" s="934">
        <v>19501</v>
      </c>
      <c r="J32" s="950">
        <v>49737</v>
      </c>
      <c r="K32" s="934">
        <v>66294</v>
      </c>
      <c r="L32" s="934">
        <v>47682</v>
      </c>
      <c r="M32" s="934">
        <v>3398168</v>
      </c>
      <c r="N32" s="934">
        <v>6351953</v>
      </c>
      <c r="O32" s="955">
        <v>150916</v>
      </c>
      <c r="P32" s="934">
        <v>263453</v>
      </c>
      <c r="Q32" s="934">
        <v>596540</v>
      </c>
      <c r="R32" s="934">
        <v>1299142</v>
      </c>
      <c r="S32" s="934">
        <v>430908</v>
      </c>
      <c r="T32" s="934">
        <v>344152</v>
      </c>
      <c r="U32" s="957"/>
      <c r="V32" s="958">
        <v>4533377</v>
      </c>
      <c r="W32" s="961">
        <v>30806</v>
      </c>
      <c r="X32" s="955">
        <v>23067</v>
      </c>
      <c r="Y32" s="934">
        <v>527001</v>
      </c>
      <c r="Z32" s="935">
        <f t="shared" si="0"/>
        <v>21251519</v>
      </c>
      <c r="AA32" s="934">
        <v>1097811</v>
      </c>
      <c r="AB32" s="935">
        <f t="shared" si="1"/>
        <v>22349330</v>
      </c>
    </row>
    <row r="33" spans="1:28" s="1420" customFormat="1" ht="18">
      <c r="A33" s="936" t="s">
        <v>398</v>
      </c>
      <c r="B33" s="1415"/>
      <c r="C33" s="933"/>
      <c r="D33" s="935"/>
      <c r="E33" s="945">
        <v>2941431</v>
      </c>
      <c r="F33" s="935">
        <v>20447521</v>
      </c>
      <c r="G33" s="935">
        <v>6324941</v>
      </c>
      <c r="H33" s="948"/>
      <c r="I33" s="935"/>
      <c r="J33" s="952"/>
      <c r="K33" s="935"/>
      <c r="L33" s="935">
        <v>4123566</v>
      </c>
      <c r="M33" s="935"/>
      <c r="N33" s="935"/>
      <c r="O33" s="1419"/>
      <c r="P33" s="935"/>
      <c r="Q33" s="935"/>
      <c r="R33" s="935"/>
      <c r="S33" s="935"/>
      <c r="T33" s="935"/>
      <c r="U33" s="1417"/>
      <c r="V33" s="959"/>
      <c r="W33" s="1418">
        <v>5713550</v>
      </c>
      <c r="X33" s="1419">
        <v>1347438</v>
      </c>
      <c r="Y33" s="935">
        <v>19118388</v>
      </c>
      <c r="Z33" s="935">
        <f t="shared" si="0"/>
        <v>60016835</v>
      </c>
      <c r="AA33" s="935"/>
      <c r="AB33" s="935">
        <f t="shared" si="1"/>
        <v>60016835</v>
      </c>
    </row>
    <row r="34" spans="1:28" ht="17.25">
      <c r="A34" s="824" t="s">
        <v>399</v>
      </c>
      <c r="B34" s="936" t="s">
        <v>400</v>
      </c>
      <c r="C34" s="932">
        <v>52485104</v>
      </c>
      <c r="D34" s="934">
        <v>2969473</v>
      </c>
      <c r="E34" s="944">
        <v>11817416</v>
      </c>
      <c r="F34" s="934">
        <v>53321477</v>
      </c>
      <c r="G34" s="934">
        <v>4326263</v>
      </c>
      <c r="H34" s="947">
        <v>16069256</v>
      </c>
      <c r="I34" s="934">
        <v>3219154</v>
      </c>
      <c r="J34" s="950">
        <v>668525</v>
      </c>
      <c r="K34" s="934">
        <v>11992890</v>
      </c>
      <c r="L34" s="934">
        <v>3653105</v>
      </c>
      <c r="M34" s="934">
        <v>134146391</v>
      </c>
      <c r="N34" s="934">
        <v>141885086</v>
      </c>
      <c r="O34" s="955">
        <v>5788980</v>
      </c>
      <c r="P34" s="934">
        <v>13584155</v>
      </c>
      <c r="Q34" s="934">
        <v>29356973</v>
      </c>
      <c r="R34" s="934">
        <v>57164735</v>
      </c>
      <c r="S34" s="934">
        <v>12192755</v>
      </c>
      <c r="T34" s="934">
        <v>35385108</v>
      </c>
      <c r="U34" s="957"/>
      <c r="V34" s="958">
        <v>152330777</v>
      </c>
      <c r="W34" s="961">
        <v>5706485</v>
      </c>
      <c r="X34" s="955">
        <v>2719768</v>
      </c>
      <c r="Y34" s="934">
        <v>19629260</v>
      </c>
      <c r="Z34" s="935">
        <f t="shared" si="0"/>
        <v>770413136</v>
      </c>
      <c r="AA34" s="934">
        <v>2492848617</v>
      </c>
      <c r="AB34" s="935">
        <f t="shared" si="1"/>
        <v>3263261753</v>
      </c>
    </row>
    <row r="35" spans="1:28" ht="17.25">
      <c r="A35" s="824" t="s">
        <v>401</v>
      </c>
      <c r="B35" s="942"/>
      <c r="C35" s="932">
        <v>31374</v>
      </c>
      <c r="D35" s="934">
        <v>1970</v>
      </c>
      <c r="E35" s="944">
        <v>40192</v>
      </c>
      <c r="F35" s="934">
        <v>917834</v>
      </c>
      <c r="G35" s="934"/>
      <c r="H35" s="947">
        <v>5393</v>
      </c>
      <c r="I35" s="934">
        <v>250</v>
      </c>
      <c r="J35" s="950">
        <v>132</v>
      </c>
      <c r="K35" s="934">
        <v>6472</v>
      </c>
      <c r="L35" s="934">
        <v>22665</v>
      </c>
      <c r="M35" s="934">
        <f>613686+5129008</f>
        <v>5742694</v>
      </c>
      <c r="N35" s="934">
        <v>706320</v>
      </c>
      <c r="O35" s="955">
        <v>75</v>
      </c>
      <c r="P35" s="934"/>
      <c r="Q35" s="934">
        <v>195308</v>
      </c>
      <c r="R35" s="934">
        <v>13593</v>
      </c>
      <c r="S35" s="934">
        <v>26632</v>
      </c>
      <c r="T35" s="934">
        <v>7046</v>
      </c>
      <c r="U35" s="957"/>
      <c r="V35" s="958">
        <v>607164</v>
      </c>
      <c r="W35" s="961">
        <v>3503</v>
      </c>
      <c r="X35" s="955">
        <v>39</v>
      </c>
      <c r="Y35" s="934"/>
      <c r="Z35" s="935">
        <f t="shared" si="0"/>
        <v>8328656</v>
      </c>
      <c r="AA35" s="934">
        <v>16513698</v>
      </c>
      <c r="AB35" s="935">
        <f t="shared" si="1"/>
        <v>24842354</v>
      </c>
    </row>
    <row r="36" spans="1:28" ht="17.25">
      <c r="A36" s="824" t="s">
        <v>402</v>
      </c>
      <c r="B36" s="942"/>
      <c r="C36" s="933"/>
      <c r="D36" s="935"/>
      <c r="E36" s="945"/>
      <c r="F36" s="935"/>
      <c r="G36" s="935"/>
      <c r="H36" s="948"/>
      <c r="I36" s="935"/>
      <c r="J36" s="951"/>
      <c r="K36" s="935"/>
      <c r="L36" s="935"/>
      <c r="M36" s="935"/>
      <c r="N36" s="935"/>
      <c r="O36" s="954"/>
      <c r="P36" s="935"/>
      <c r="Q36" s="956"/>
      <c r="R36" s="935"/>
      <c r="S36" s="935"/>
      <c r="T36" s="935"/>
      <c r="U36" s="957"/>
      <c r="V36" s="916"/>
      <c r="W36" s="961"/>
      <c r="X36" s="955"/>
      <c r="Y36" s="935"/>
      <c r="Z36" s="935">
        <f t="shared" si="0"/>
        <v>0</v>
      </c>
      <c r="AA36" s="935"/>
      <c r="AB36" s="935">
        <f t="shared" si="1"/>
        <v>0</v>
      </c>
    </row>
    <row r="37" spans="1:28" ht="17.25">
      <c r="A37" s="824" t="s">
        <v>403</v>
      </c>
      <c r="B37" s="942"/>
      <c r="C37" s="932">
        <v>30273503</v>
      </c>
      <c r="D37" s="934">
        <f>1528219+382354</f>
        <v>1910573</v>
      </c>
      <c r="E37" s="944">
        <v>4339988</v>
      </c>
      <c r="F37" s="934">
        <v>28213554</v>
      </c>
      <c r="G37" s="934">
        <v>11930937</v>
      </c>
      <c r="H37" s="947">
        <v>20282347</v>
      </c>
      <c r="I37" s="934">
        <v>8721864</v>
      </c>
      <c r="J37" s="950">
        <v>4907511</v>
      </c>
      <c r="K37" s="934">
        <f>16659880-468668+17128548</f>
        <v>33319760</v>
      </c>
      <c r="L37" s="934">
        <f>138954+5517250</f>
        <v>5656204</v>
      </c>
      <c r="M37" s="934">
        <v>117521101</v>
      </c>
      <c r="N37" s="934">
        <v>118600782</v>
      </c>
      <c r="O37" s="954">
        <v>14395028</v>
      </c>
      <c r="P37" s="934">
        <v>18150841</v>
      </c>
      <c r="Q37" s="934">
        <v>36463905</v>
      </c>
      <c r="R37" s="934">
        <v>98725548</v>
      </c>
      <c r="S37" s="934">
        <f>2672872+29876459</f>
        <v>32549331</v>
      </c>
      <c r="T37" s="934">
        <f>-8901698+20967027</f>
        <v>12065329</v>
      </c>
      <c r="U37" s="957"/>
      <c r="V37" s="958">
        <v>92995252</v>
      </c>
      <c r="W37" s="961">
        <v>7010276</v>
      </c>
      <c r="X37" s="955">
        <v>5107582</v>
      </c>
      <c r="Y37" s="934">
        <f>35361655+13019152</f>
        <v>48380807</v>
      </c>
      <c r="Z37" s="935">
        <f t="shared" si="0"/>
        <v>751522023</v>
      </c>
      <c r="AA37" s="934">
        <v>2531473787</v>
      </c>
      <c r="AB37" s="935">
        <f t="shared" si="1"/>
        <v>3282995810</v>
      </c>
    </row>
    <row r="38" spans="1:28" ht="17.25">
      <c r="A38" s="824" t="s">
        <v>404</v>
      </c>
      <c r="B38" s="942"/>
      <c r="C38" s="932">
        <v>-78681</v>
      </c>
      <c r="D38" s="934">
        <v>-227673</v>
      </c>
      <c r="E38" s="944">
        <v>158560</v>
      </c>
      <c r="F38" s="934">
        <v>19812</v>
      </c>
      <c r="G38" s="934">
        <v>155694</v>
      </c>
      <c r="H38" s="947">
        <v>-465750</v>
      </c>
      <c r="I38" s="934">
        <v>-110567</v>
      </c>
      <c r="J38" s="950">
        <v>-354634</v>
      </c>
      <c r="K38" s="934">
        <v>-273002</v>
      </c>
      <c r="L38" s="934"/>
      <c r="M38" s="934">
        <v>-4366689</v>
      </c>
      <c r="N38" s="934">
        <v>-43010371</v>
      </c>
      <c r="O38" s="954">
        <v>-19143</v>
      </c>
      <c r="P38" s="934">
        <v>-147195</v>
      </c>
      <c r="Q38" s="934">
        <v>-197545</v>
      </c>
      <c r="R38" s="934">
        <v>-3739325</v>
      </c>
      <c r="S38" s="934">
        <v>-3244263</v>
      </c>
      <c r="T38" s="934"/>
      <c r="U38" s="957"/>
      <c r="V38" s="958">
        <v>576195</v>
      </c>
      <c r="W38" s="961"/>
      <c r="X38" s="955">
        <v>-8631</v>
      </c>
      <c r="Y38" s="934">
        <v>-6085797</v>
      </c>
      <c r="Z38" s="935">
        <f t="shared" si="0"/>
        <v>-61419005</v>
      </c>
      <c r="AA38" s="934"/>
      <c r="AB38" s="935">
        <f t="shared" si="1"/>
        <v>-61419005</v>
      </c>
    </row>
    <row r="39" spans="1:28" ht="17.25">
      <c r="A39" s="824" t="s">
        <v>405</v>
      </c>
      <c r="B39" s="942"/>
      <c r="C39" s="932">
        <v>116002</v>
      </c>
      <c r="D39" s="934"/>
      <c r="E39" s="944"/>
      <c r="F39" s="934"/>
      <c r="G39" s="934"/>
      <c r="H39" s="947"/>
      <c r="I39" s="934"/>
      <c r="J39" s="950"/>
      <c r="K39" s="934"/>
      <c r="L39" s="934">
        <v>-190333</v>
      </c>
      <c r="M39" s="934"/>
      <c r="N39" s="934"/>
      <c r="O39" s="954"/>
      <c r="P39" s="934"/>
      <c r="Q39" s="934"/>
      <c r="R39" s="934"/>
      <c r="S39" s="934"/>
      <c r="T39" s="934"/>
      <c r="U39" s="957"/>
      <c r="V39" s="916"/>
      <c r="W39" s="961"/>
      <c r="X39" s="955"/>
      <c r="Y39" s="934"/>
      <c r="Z39" s="935">
        <f t="shared" si="0"/>
        <v>-74331</v>
      </c>
      <c r="AA39" s="934"/>
      <c r="AB39" s="935">
        <f t="shared" si="1"/>
        <v>-74331</v>
      </c>
    </row>
    <row r="40" spans="1:28" ht="17.25">
      <c r="A40" s="824" t="s">
        <v>406</v>
      </c>
      <c r="B40" s="942"/>
      <c r="C40" s="932">
        <v>4439526</v>
      </c>
      <c r="D40" s="934"/>
      <c r="E40" s="944"/>
      <c r="F40" s="934">
        <v>15310160</v>
      </c>
      <c r="G40" s="934"/>
      <c r="H40" s="947"/>
      <c r="I40" s="934"/>
      <c r="J40" s="950">
        <v>2296037</v>
      </c>
      <c r="K40" s="934"/>
      <c r="L40" s="934"/>
      <c r="M40" s="934">
        <v>59230620</v>
      </c>
      <c r="N40" s="934">
        <v>113874968</v>
      </c>
      <c r="O40" s="954"/>
      <c r="P40" s="934">
        <v>5794815</v>
      </c>
      <c r="Q40" s="934"/>
      <c r="R40" s="934"/>
      <c r="S40" s="934"/>
      <c r="T40" s="934"/>
      <c r="U40" s="957"/>
      <c r="V40" s="958">
        <v>130891447</v>
      </c>
      <c r="W40" s="961"/>
      <c r="X40" s="955">
        <v>972374</v>
      </c>
      <c r="Y40" s="934"/>
      <c r="Z40" s="935">
        <f t="shared" si="0"/>
        <v>332809947</v>
      </c>
      <c r="AA40" s="934">
        <v>950</v>
      </c>
      <c r="AB40" s="935">
        <f t="shared" si="1"/>
        <v>332810897</v>
      </c>
    </row>
    <row r="41" spans="1:28" ht="17.25">
      <c r="A41" s="824" t="s">
        <v>407</v>
      </c>
      <c r="B41" s="942"/>
      <c r="C41" s="933"/>
      <c r="D41" s="935"/>
      <c r="E41" s="945">
        <v>-146061</v>
      </c>
      <c r="F41" s="935">
        <v>3233282</v>
      </c>
      <c r="G41" s="935"/>
      <c r="H41" s="948"/>
      <c r="I41" s="935"/>
      <c r="J41" s="951">
        <v>292425</v>
      </c>
      <c r="K41" s="935"/>
      <c r="L41" s="935"/>
      <c r="M41" s="935">
        <v>2689595</v>
      </c>
      <c r="N41" s="935">
        <v>20564404</v>
      </c>
      <c r="O41" s="954"/>
      <c r="P41" s="935"/>
      <c r="Q41" s="956"/>
      <c r="R41" s="935">
        <v>2379200</v>
      </c>
      <c r="S41" s="935"/>
      <c r="T41" s="935"/>
      <c r="U41" s="957"/>
      <c r="V41" s="958">
        <v>11454296</v>
      </c>
      <c r="W41" s="961"/>
      <c r="X41" s="934">
        <v>-361495</v>
      </c>
      <c r="Y41" s="935"/>
      <c r="Z41" s="935">
        <f t="shared" si="0"/>
        <v>40105646</v>
      </c>
      <c r="AA41" s="935">
        <v>59127</v>
      </c>
      <c r="AB41" s="935">
        <f t="shared" si="1"/>
        <v>40164773</v>
      </c>
    </row>
    <row r="42" spans="1:28" ht="17.25">
      <c r="A42" s="824" t="s">
        <v>448</v>
      </c>
      <c r="B42" s="942"/>
      <c r="C42" s="933"/>
      <c r="D42" s="935"/>
      <c r="E42" s="945"/>
      <c r="F42" s="935"/>
      <c r="G42" s="935"/>
      <c r="H42" s="948"/>
      <c r="I42" s="935"/>
      <c r="J42" s="951"/>
      <c r="K42" s="935"/>
      <c r="L42" s="935"/>
      <c r="M42" s="935"/>
      <c r="N42" s="935"/>
      <c r="O42" s="954"/>
      <c r="P42" s="935"/>
      <c r="Q42" s="956">
        <v>12926665</v>
      </c>
      <c r="R42" s="935"/>
      <c r="S42" s="935"/>
      <c r="T42" s="935"/>
      <c r="U42" s="957"/>
      <c r="V42" s="958"/>
      <c r="W42" s="961"/>
      <c r="X42" s="934"/>
      <c r="Y42" s="935"/>
      <c r="Z42" s="935">
        <f t="shared" si="0"/>
        <v>12926665</v>
      </c>
      <c r="AA42" s="935">
        <v>-93122814</v>
      </c>
      <c r="AB42" s="935">
        <f t="shared" si="1"/>
        <v>-80196149</v>
      </c>
    </row>
    <row r="43" spans="1:28" ht="17.25">
      <c r="A43" s="824" t="s">
        <v>453</v>
      </c>
      <c r="B43" s="942"/>
      <c r="C43" s="933"/>
      <c r="D43" s="935"/>
      <c r="E43" s="945"/>
      <c r="F43" s="935">
        <v>40521</v>
      </c>
      <c r="G43" s="935"/>
      <c r="H43" s="948"/>
      <c r="I43" s="935"/>
      <c r="J43" s="951"/>
      <c r="K43" s="935"/>
      <c r="L43" s="935"/>
      <c r="M43" s="935"/>
      <c r="N43" s="935"/>
      <c r="O43" s="954"/>
      <c r="P43" s="935"/>
      <c r="Q43" s="956"/>
      <c r="R43" s="935"/>
      <c r="S43" s="935"/>
      <c r="T43" s="935"/>
      <c r="U43" s="957"/>
      <c r="V43" s="958"/>
      <c r="W43" s="961"/>
      <c r="X43" s="934"/>
      <c r="Y43" s="935"/>
      <c r="Z43" s="935">
        <f t="shared" si="0"/>
        <v>40521</v>
      </c>
      <c r="AA43" s="935"/>
      <c r="AB43" s="935">
        <f t="shared" si="1"/>
        <v>40521</v>
      </c>
    </row>
    <row r="44" spans="1:28" s="1420" customFormat="1" ht="18">
      <c r="A44" s="936" t="s">
        <v>408</v>
      </c>
      <c r="B44" s="1415"/>
      <c r="C44" s="933"/>
      <c r="D44" s="935"/>
      <c r="E44" s="945">
        <v>16210095</v>
      </c>
      <c r="F44" s="935">
        <v>101056640</v>
      </c>
      <c r="G44" s="935">
        <v>16412894</v>
      </c>
      <c r="H44" s="948"/>
      <c r="I44" s="935"/>
      <c r="J44" s="952"/>
      <c r="K44" s="935">
        <v>28386241</v>
      </c>
      <c r="L44" s="935">
        <v>9141641</v>
      </c>
      <c r="M44" s="935"/>
      <c r="N44" s="935">
        <v>352621189</v>
      </c>
      <c r="O44" s="1419"/>
      <c r="P44" s="935">
        <v>37382616</v>
      </c>
      <c r="Q44" s="935">
        <v>78745306</v>
      </c>
      <c r="R44" s="935">
        <v>154543751</v>
      </c>
      <c r="S44" s="935">
        <v>48705044</v>
      </c>
      <c r="T44" s="935">
        <v>47457483</v>
      </c>
      <c r="U44" s="1417"/>
      <c r="V44" s="959">
        <v>388855131</v>
      </c>
      <c r="W44" s="1418">
        <v>12720264</v>
      </c>
      <c r="X44" s="1419">
        <v>8429637</v>
      </c>
      <c r="Y44" s="935">
        <v>61924270</v>
      </c>
      <c r="Z44" s="935">
        <f t="shared" si="0"/>
        <v>1362592202</v>
      </c>
      <c r="AA44" s="935">
        <v>4947773365</v>
      </c>
      <c r="AB44" s="935">
        <f t="shared" si="1"/>
        <v>6310365567</v>
      </c>
    </row>
    <row r="45" spans="1:28" s="1420" customFormat="1" ht="18">
      <c r="A45" s="936" t="s">
        <v>409</v>
      </c>
      <c r="B45" s="1415"/>
      <c r="C45" s="933">
        <v>1952286</v>
      </c>
      <c r="D45" s="935">
        <v>-550</v>
      </c>
      <c r="E45" s="945">
        <v>1278134</v>
      </c>
      <c r="F45" s="935">
        <v>10271008</v>
      </c>
      <c r="G45" s="935">
        <v>2003468</v>
      </c>
      <c r="H45" s="948">
        <v>2737512</v>
      </c>
      <c r="I45" s="935">
        <v>3164786</v>
      </c>
      <c r="J45" s="951">
        <v>169457</v>
      </c>
      <c r="K45" s="935">
        <v>1787487</v>
      </c>
      <c r="L45" s="935">
        <v>2045895</v>
      </c>
      <c r="M45" s="935">
        <v>13607151</v>
      </c>
      <c r="N45" s="935">
        <v>13464687</v>
      </c>
      <c r="O45" s="1419">
        <v>927797</v>
      </c>
      <c r="P45" s="935">
        <v>1558582</v>
      </c>
      <c r="Q45" s="935">
        <v>4603989</v>
      </c>
      <c r="R45" s="935">
        <v>8244468</v>
      </c>
      <c r="S45" s="935">
        <v>2667079</v>
      </c>
      <c r="T45" s="935">
        <v>2323652</v>
      </c>
      <c r="U45" s="1417"/>
      <c r="V45" s="959">
        <v>10866387</v>
      </c>
      <c r="W45" s="1418">
        <v>1176639</v>
      </c>
      <c r="X45" s="1419">
        <v>353152</v>
      </c>
      <c r="Y45" s="935">
        <v>1150803</v>
      </c>
      <c r="Z45" s="935">
        <f t="shared" si="0"/>
        <v>86353869</v>
      </c>
      <c r="AA45" s="935">
        <v>26605954</v>
      </c>
      <c r="AB45" s="935">
        <f t="shared" si="1"/>
        <v>112959823</v>
      </c>
    </row>
    <row r="46" spans="1:28" ht="17.25">
      <c r="A46" s="936" t="s">
        <v>452</v>
      </c>
      <c r="B46" s="942"/>
      <c r="C46" s="933"/>
      <c r="D46" s="934"/>
      <c r="E46" s="944"/>
      <c r="F46" s="934">
        <v>810134</v>
      </c>
      <c r="G46" s="934"/>
      <c r="H46" s="947"/>
      <c r="I46" s="934"/>
      <c r="J46" s="951"/>
      <c r="K46" s="934"/>
      <c r="L46" s="934"/>
      <c r="M46" s="934"/>
      <c r="N46" s="934"/>
      <c r="O46" s="955"/>
      <c r="P46" s="934"/>
      <c r="Q46" s="934"/>
      <c r="R46" s="934"/>
      <c r="S46" s="934"/>
      <c r="T46" s="934"/>
      <c r="U46" s="957"/>
      <c r="V46" s="959"/>
      <c r="W46" s="961"/>
      <c r="X46" s="955"/>
      <c r="Y46" s="934"/>
      <c r="Z46" s="935">
        <f t="shared" si="0"/>
        <v>810134</v>
      </c>
      <c r="AA46" s="934"/>
      <c r="AB46" s="935">
        <f t="shared" si="1"/>
        <v>810134</v>
      </c>
    </row>
    <row r="47" spans="1:28" ht="17.25">
      <c r="A47" s="936" t="s">
        <v>410</v>
      </c>
      <c r="B47" s="942"/>
      <c r="C47" s="932"/>
      <c r="D47" s="934"/>
      <c r="E47" s="944"/>
      <c r="F47" s="934"/>
      <c r="G47" s="934"/>
      <c r="H47" s="947"/>
      <c r="I47" s="934"/>
      <c r="J47" s="950"/>
      <c r="K47" s="934"/>
      <c r="L47" s="934"/>
      <c r="M47" s="934"/>
      <c r="N47" s="934"/>
      <c r="O47" s="955"/>
      <c r="P47" s="934"/>
      <c r="Q47" s="934"/>
      <c r="R47" s="934"/>
      <c r="S47" s="934"/>
      <c r="T47" s="934"/>
      <c r="U47" s="957"/>
      <c r="V47" s="916">
        <v>1934792</v>
      </c>
      <c r="W47" s="961">
        <v>23212</v>
      </c>
      <c r="X47" s="955">
        <v>32754</v>
      </c>
      <c r="Y47" s="934"/>
      <c r="Z47" s="935">
        <f t="shared" si="0"/>
        <v>1990758</v>
      </c>
      <c r="AA47" s="934"/>
      <c r="AB47" s="935">
        <f t="shared" si="1"/>
        <v>1990758</v>
      </c>
    </row>
    <row r="48" spans="1:28" ht="17.25">
      <c r="A48" s="936" t="s">
        <v>458</v>
      </c>
      <c r="B48" s="942"/>
      <c r="C48" s="932"/>
      <c r="D48" s="934"/>
      <c r="E48" s="944"/>
      <c r="F48" s="934"/>
      <c r="G48" s="934"/>
      <c r="H48" s="947"/>
      <c r="I48" s="934"/>
      <c r="J48" s="950"/>
      <c r="K48" s="934"/>
      <c r="L48" s="934"/>
      <c r="M48" s="934"/>
      <c r="N48" s="934"/>
      <c r="O48" s="955"/>
      <c r="P48" s="934"/>
      <c r="Q48" s="934"/>
      <c r="R48" s="934"/>
      <c r="S48" s="934"/>
      <c r="T48" s="934"/>
      <c r="U48" s="957"/>
      <c r="V48" s="916"/>
      <c r="W48" s="961"/>
      <c r="X48" s="955"/>
      <c r="Y48" s="934">
        <v>-16638</v>
      </c>
      <c r="Z48" s="935"/>
      <c r="AA48" s="934"/>
      <c r="AB48" s="935"/>
    </row>
    <row r="49" spans="1:28" ht="17.25">
      <c r="A49" s="824" t="s">
        <v>411</v>
      </c>
      <c r="B49" s="942"/>
      <c r="C49" s="932"/>
      <c r="D49" s="934"/>
      <c r="E49" s="944"/>
      <c r="F49" s="934"/>
      <c r="G49" s="934"/>
      <c r="H49" s="947"/>
      <c r="I49" s="934"/>
      <c r="J49" s="950"/>
      <c r="K49" s="934"/>
      <c r="L49" s="934"/>
      <c r="M49" s="934"/>
      <c r="N49" s="934"/>
      <c r="O49" s="955"/>
      <c r="P49" s="934"/>
      <c r="Q49" s="934"/>
      <c r="R49" s="934">
        <v>18655442</v>
      </c>
      <c r="S49" s="934"/>
      <c r="T49" s="934"/>
      <c r="U49" s="957"/>
      <c r="V49" s="958">
        <v>12801179</v>
      </c>
      <c r="W49" s="961">
        <v>1199851</v>
      </c>
      <c r="X49" s="955"/>
      <c r="Y49" s="934">
        <v>11134165</v>
      </c>
      <c r="Z49" s="935">
        <f t="shared" si="0"/>
        <v>43790637</v>
      </c>
      <c r="AA49" s="934"/>
      <c r="AB49" s="935">
        <f t="shared" si="1"/>
        <v>43790637</v>
      </c>
    </row>
    <row r="50" spans="1:28" ht="17.25">
      <c r="A50" s="936" t="s">
        <v>170</v>
      </c>
      <c r="B50" s="942"/>
      <c r="C50" s="933"/>
      <c r="D50" s="935"/>
      <c r="E50" s="945"/>
      <c r="F50" s="935"/>
      <c r="G50" s="935"/>
      <c r="H50" s="948"/>
      <c r="I50" s="935"/>
      <c r="J50" s="951"/>
      <c r="K50" s="935"/>
      <c r="L50" s="935"/>
      <c r="M50" s="935"/>
      <c r="N50" s="935"/>
      <c r="O50" s="934"/>
      <c r="P50" s="935"/>
      <c r="Q50" s="956"/>
      <c r="R50" s="935"/>
      <c r="S50" s="935"/>
      <c r="T50" s="935"/>
      <c r="U50" s="957"/>
      <c r="V50" s="916"/>
      <c r="W50" s="961"/>
      <c r="X50" s="934"/>
      <c r="Y50" s="935"/>
      <c r="Z50" s="935">
        <f t="shared" si="0"/>
        <v>0</v>
      </c>
      <c r="AA50" s="935"/>
      <c r="AB50" s="935">
        <f t="shared" si="1"/>
        <v>0</v>
      </c>
    </row>
    <row r="51" spans="1:28" ht="17.25">
      <c r="A51" s="824" t="s">
        <v>412</v>
      </c>
      <c r="B51" s="942"/>
      <c r="C51" s="932">
        <v>1924912</v>
      </c>
      <c r="D51" s="934">
        <v>28456</v>
      </c>
      <c r="E51" s="944">
        <v>1218037</v>
      </c>
      <c r="F51" s="934">
        <v>4800976</v>
      </c>
      <c r="G51" s="934">
        <v>1944942</v>
      </c>
      <c r="H51" s="947">
        <v>1441146</v>
      </c>
      <c r="I51" s="934">
        <v>3123057</v>
      </c>
      <c r="J51" s="953">
        <v>155434</v>
      </c>
      <c r="K51" s="934">
        <v>769397</v>
      </c>
      <c r="L51" s="934">
        <v>1382681</v>
      </c>
      <c r="M51" s="934">
        <v>12069037</v>
      </c>
      <c r="N51" s="934"/>
      <c r="O51" s="955">
        <v>1042361</v>
      </c>
      <c r="P51" s="934">
        <v>1416896</v>
      </c>
      <c r="Q51" s="934">
        <v>3872254</v>
      </c>
      <c r="R51" s="934">
        <v>4402208</v>
      </c>
      <c r="S51" s="934">
        <v>1530461</v>
      </c>
      <c r="T51" s="934">
        <v>1497218</v>
      </c>
      <c r="U51" s="957"/>
      <c r="V51" s="958">
        <v>9984974</v>
      </c>
      <c r="W51" s="961">
        <v>1118219</v>
      </c>
      <c r="X51" s="955">
        <v>444050</v>
      </c>
      <c r="Y51" s="934">
        <v>930700</v>
      </c>
      <c r="Z51" s="935">
        <f t="shared" si="0"/>
        <v>55097416</v>
      </c>
      <c r="AA51" s="934">
        <f>AA45</f>
        <v>26605954</v>
      </c>
      <c r="AB51" s="935">
        <f t="shared" si="1"/>
        <v>81703370</v>
      </c>
    </row>
    <row r="52" spans="1:28" ht="17.25">
      <c r="A52" s="824" t="s">
        <v>446</v>
      </c>
      <c r="B52" s="942"/>
      <c r="C52" s="932"/>
      <c r="D52" s="934">
        <v>-589765</v>
      </c>
      <c r="E52" s="944"/>
      <c r="F52" s="934"/>
      <c r="G52" s="934">
        <v>-1117</v>
      </c>
      <c r="H52" s="947"/>
      <c r="I52" s="934"/>
      <c r="J52" s="953"/>
      <c r="K52" s="934"/>
      <c r="L52" s="934"/>
      <c r="M52" s="934"/>
      <c r="N52" s="934"/>
      <c r="O52" s="955"/>
      <c r="P52" s="934"/>
      <c r="Q52" s="934"/>
      <c r="R52" s="934"/>
      <c r="S52" s="934"/>
      <c r="T52" s="934"/>
      <c r="U52" s="957"/>
      <c r="V52" s="958"/>
      <c r="W52" s="961"/>
      <c r="X52" s="955"/>
      <c r="Y52" s="934"/>
      <c r="Z52" s="935">
        <f t="shared" si="0"/>
        <v>-590882</v>
      </c>
      <c r="AA52" s="934"/>
      <c r="AB52" s="935">
        <f t="shared" si="1"/>
        <v>-590882</v>
      </c>
    </row>
    <row r="53" spans="1:28" ht="17.25">
      <c r="A53" s="824" t="s">
        <v>413</v>
      </c>
      <c r="B53" s="942"/>
      <c r="C53" s="932"/>
      <c r="D53" s="934"/>
      <c r="E53" s="944"/>
      <c r="F53" s="934"/>
      <c r="G53" s="934"/>
      <c r="H53" s="947"/>
      <c r="I53" s="934"/>
      <c r="J53" s="953"/>
      <c r="K53" s="934"/>
      <c r="L53" s="934"/>
      <c r="M53" s="934"/>
      <c r="N53" s="934"/>
      <c r="O53" s="955"/>
      <c r="P53" s="934"/>
      <c r="Q53" s="934"/>
      <c r="R53" s="934"/>
      <c r="S53" s="934"/>
      <c r="T53" s="934"/>
      <c r="U53" s="957"/>
      <c r="V53" s="916"/>
      <c r="W53" s="961"/>
      <c r="X53" s="955"/>
      <c r="Y53" s="934"/>
      <c r="Z53" s="935">
        <f t="shared" si="0"/>
        <v>0</v>
      </c>
      <c r="AA53" s="934"/>
      <c r="AB53" s="935">
        <f t="shared" si="1"/>
        <v>0</v>
      </c>
    </row>
    <row r="54" spans="1:28" ht="17.25">
      <c r="A54" s="824" t="s">
        <v>414</v>
      </c>
      <c r="B54" s="942"/>
      <c r="C54" s="932">
        <v>27374</v>
      </c>
      <c r="D54" s="934">
        <v>560759</v>
      </c>
      <c r="E54" s="944">
        <v>60097</v>
      </c>
      <c r="F54" s="934">
        <v>4659898</v>
      </c>
      <c r="G54" s="934">
        <v>59643</v>
      </c>
      <c r="H54" s="947">
        <v>1296366</v>
      </c>
      <c r="I54" s="934">
        <v>41729</v>
      </c>
      <c r="J54" s="953">
        <v>14023</v>
      </c>
      <c r="K54" s="934">
        <v>1018091</v>
      </c>
      <c r="L54" s="934">
        <v>663214</v>
      </c>
      <c r="M54" s="934">
        <v>1438114</v>
      </c>
      <c r="N54" s="934"/>
      <c r="O54" s="955">
        <v>-114564</v>
      </c>
      <c r="P54" s="934">
        <v>141686</v>
      </c>
      <c r="Q54" s="934">
        <v>731735</v>
      </c>
      <c r="R54" s="934">
        <v>22497702</v>
      </c>
      <c r="S54" s="934">
        <v>1136618</v>
      </c>
      <c r="T54" s="934">
        <v>826434</v>
      </c>
      <c r="U54" s="957"/>
      <c r="V54" s="958">
        <v>2816206</v>
      </c>
      <c r="W54" s="961">
        <v>81632</v>
      </c>
      <c r="X54" s="955">
        <v>-58144</v>
      </c>
      <c r="Y54" s="934">
        <v>203465</v>
      </c>
      <c r="Z54" s="935">
        <f t="shared" si="0"/>
        <v>38102078</v>
      </c>
      <c r="AA54" s="934"/>
      <c r="AB54" s="935">
        <f t="shared" si="1"/>
        <v>38102078</v>
      </c>
    </row>
    <row r="55" spans="1:28" s="1420" customFormat="1" ht="18">
      <c r="A55" s="936" t="s">
        <v>415</v>
      </c>
      <c r="B55" s="1415"/>
      <c r="C55" s="933">
        <f>C45</f>
        <v>1952286</v>
      </c>
      <c r="D55" s="935"/>
      <c r="E55" s="945">
        <v>1278134</v>
      </c>
      <c r="F55" s="935"/>
      <c r="G55" s="935">
        <v>2003468</v>
      </c>
      <c r="H55" s="948"/>
      <c r="I55" s="935"/>
      <c r="J55" s="182">
        <v>169457</v>
      </c>
      <c r="K55" s="935">
        <v>1787487</v>
      </c>
      <c r="L55" s="935">
        <v>2045895</v>
      </c>
      <c r="M55" s="935"/>
      <c r="N55" s="935"/>
      <c r="O55" s="1419">
        <v>927797</v>
      </c>
      <c r="P55" s="935">
        <v>1558582</v>
      </c>
      <c r="Q55" s="935"/>
      <c r="R55" s="935"/>
      <c r="S55" s="935">
        <v>2667079</v>
      </c>
      <c r="T55" s="935">
        <v>2323652</v>
      </c>
      <c r="U55" s="1417"/>
      <c r="V55" s="959">
        <v>10866387</v>
      </c>
      <c r="W55" s="1418">
        <v>1199851</v>
      </c>
      <c r="X55" s="1419"/>
      <c r="Y55" s="935">
        <v>1134165</v>
      </c>
      <c r="Z55" s="935">
        <f t="shared" si="0"/>
        <v>29914240</v>
      </c>
      <c r="AA55" s="935">
        <f>AA45</f>
        <v>26605954</v>
      </c>
      <c r="AB55" s="935">
        <f t="shared" si="1"/>
        <v>56520194</v>
      </c>
    </row>
    <row r="56" spans="1:28" ht="17.25">
      <c r="A56" s="824" t="s">
        <v>416</v>
      </c>
      <c r="B56" s="942"/>
      <c r="C56" s="933">
        <f>30200+1174</f>
        <v>31374</v>
      </c>
      <c r="D56" s="935">
        <v>1970</v>
      </c>
      <c r="E56" s="945">
        <v>40192</v>
      </c>
      <c r="F56" s="935">
        <v>917834</v>
      </c>
      <c r="G56" s="935"/>
      <c r="H56" s="948">
        <v>5393</v>
      </c>
      <c r="I56" s="935">
        <v>250</v>
      </c>
      <c r="J56" s="182">
        <v>132</v>
      </c>
      <c r="K56" s="935"/>
      <c r="L56" s="935">
        <f>13437+9228</f>
        <v>22665</v>
      </c>
      <c r="M56" s="935">
        <f>613686+5129008</f>
        <v>5742694</v>
      </c>
      <c r="N56" s="935"/>
      <c r="O56" s="954"/>
      <c r="P56" s="935"/>
      <c r="Q56" s="956">
        <v>195308</v>
      </c>
      <c r="R56" s="935">
        <v>13593</v>
      </c>
      <c r="S56" s="935">
        <v>-5648</v>
      </c>
      <c r="T56" s="935">
        <v>7046</v>
      </c>
      <c r="U56" s="957"/>
      <c r="V56" s="958">
        <v>607164</v>
      </c>
      <c r="W56" s="961">
        <v>3503</v>
      </c>
      <c r="X56" s="934">
        <v>39</v>
      </c>
      <c r="Y56" s="935"/>
      <c r="Z56" s="935">
        <f t="shared" si="0"/>
        <v>7583509</v>
      </c>
      <c r="AA56" s="935">
        <v>16513698</v>
      </c>
      <c r="AB56" s="935">
        <f t="shared" si="1"/>
        <v>24097207</v>
      </c>
    </row>
    <row r="57" spans="1:28" ht="17.25">
      <c r="A57" s="824" t="s">
        <v>417</v>
      </c>
      <c r="B57" s="942"/>
      <c r="C57" s="932">
        <v>2034300</v>
      </c>
      <c r="D57" s="934">
        <v>254138</v>
      </c>
      <c r="E57" s="944">
        <v>48697</v>
      </c>
      <c r="F57" s="934">
        <v>3779964</v>
      </c>
      <c r="G57" s="934">
        <v>726320</v>
      </c>
      <c r="H57" s="947">
        <v>510832</v>
      </c>
      <c r="I57" s="934">
        <v>102152</v>
      </c>
      <c r="J57" s="953">
        <v>213824</v>
      </c>
      <c r="K57" s="934"/>
      <c r="L57" s="934">
        <v>578020</v>
      </c>
      <c r="M57" s="934">
        <v>7768117</v>
      </c>
      <c r="N57" s="934"/>
      <c r="O57" s="955"/>
      <c r="P57" s="934"/>
      <c r="Q57" s="934">
        <v>2710048</v>
      </c>
      <c r="R57" s="934">
        <v>12221212</v>
      </c>
      <c r="S57" s="934">
        <v>2556580</v>
      </c>
      <c r="T57" s="934">
        <v>1909380</v>
      </c>
      <c r="U57" s="957"/>
      <c r="V57" s="916">
        <v>11491438</v>
      </c>
      <c r="W57" s="961">
        <v>814671</v>
      </c>
      <c r="X57" s="955">
        <v>207044</v>
      </c>
      <c r="Y57" s="934">
        <v>4409440</v>
      </c>
      <c r="Z57" s="935">
        <f t="shared" si="0"/>
        <v>52336177</v>
      </c>
      <c r="AA57" s="934">
        <v>505513138</v>
      </c>
      <c r="AB57" s="935">
        <f t="shared" si="1"/>
        <v>557849315</v>
      </c>
    </row>
    <row r="58" spans="1:28" ht="18" thickBot="1">
      <c r="A58" s="1481" t="s">
        <v>418</v>
      </c>
      <c r="B58" s="1482"/>
      <c r="C58" s="1483">
        <v>1952286</v>
      </c>
      <c r="D58" s="1484">
        <v>-550</v>
      </c>
      <c r="E58" s="1485">
        <v>1278134</v>
      </c>
      <c r="F58" s="1484">
        <v>9460874</v>
      </c>
      <c r="G58" s="1484">
        <v>2003468</v>
      </c>
      <c r="H58" s="1486">
        <v>2737512</v>
      </c>
      <c r="I58" s="1484">
        <v>3164786</v>
      </c>
      <c r="J58" s="1487">
        <v>169457</v>
      </c>
      <c r="K58" s="1484"/>
      <c r="L58" s="1484">
        <v>2045895</v>
      </c>
      <c r="M58" s="1484">
        <v>13507151</v>
      </c>
      <c r="N58" s="1484"/>
      <c r="O58" s="1488"/>
      <c r="P58" s="1484"/>
      <c r="Q58" s="1484">
        <v>731735</v>
      </c>
      <c r="R58" s="1484">
        <v>26899910</v>
      </c>
      <c r="S58" s="1484">
        <v>1115471</v>
      </c>
      <c r="T58" s="1484">
        <v>2323652</v>
      </c>
      <c r="U58" s="1489"/>
      <c r="V58" s="1490">
        <v>10866387</v>
      </c>
      <c r="W58" s="1491">
        <v>1176639</v>
      </c>
      <c r="X58" s="1488">
        <v>353152</v>
      </c>
      <c r="Y58" s="1491">
        <v>1150803</v>
      </c>
      <c r="Z58" s="1492">
        <f t="shared" si="0"/>
        <v>80936762</v>
      </c>
      <c r="AA58" s="1484">
        <v>26605954</v>
      </c>
      <c r="AB58" s="1492">
        <f t="shared" si="1"/>
        <v>107542716</v>
      </c>
    </row>
    <row r="59" spans="1:28" s="1420" customFormat="1" ht="18.75" thickBot="1">
      <c r="A59" s="1493" t="s">
        <v>419</v>
      </c>
      <c r="B59" s="1494"/>
      <c r="C59" s="1495">
        <v>4017960</v>
      </c>
      <c r="D59" s="1496">
        <v>255558</v>
      </c>
      <c r="E59" s="1497">
        <v>1367023</v>
      </c>
      <c r="F59" s="1496">
        <v>14158672</v>
      </c>
      <c r="G59" s="1496">
        <v>2729788</v>
      </c>
      <c r="H59" s="1498">
        <v>3253737</v>
      </c>
      <c r="I59" s="1496">
        <v>3267188</v>
      </c>
      <c r="J59" s="1499">
        <v>383413</v>
      </c>
      <c r="K59" s="1496"/>
      <c r="L59" s="1496">
        <v>2646580</v>
      </c>
      <c r="M59" s="1496">
        <v>27017962</v>
      </c>
      <c r="N59" s="1496"/>
      <c r="O59" s="1500"/>
      <c r="P59" s="1496"/>
      <c r="Q59" s="1496">
        <v>3637091</v>
      </c>
      <c r="R59" s="1496">
        <v>39134715</v>
      </c>
      <c r="S59" s="1496">
        <v>3666403</v>
      </c>
      <c r="T59" s="1496">
        <v>4240078</v>
      </c>
      <c r="U59" s="1501"/>
      <c r="V59" s="1502">
        <v>22964989</v>
      </c>
      <c r="W59" s="1503">
        <v>1994812</v>
      </c>
      <c r="X59" s="1500">
        <v>560235</v>
      </c>
      <c r="Y59" s="1496">
        <v>5560243</v>
      </c>
      <c r="Z59" s="1496">
        <f t="shared" si="0"/>
        <v>140856447</v>
      </c>
      <c r="AA59" s="1496">
        <v>548632790</v>
      </c>
      <c r="AB59" s="1496">
        <f t="shared" si="1"/>
        <v>689489237</v>
      </c>
    </row>
  </sheetData>
  <sheetProtection/>
  <mergeCells count="2">
    <mergeCell ref="A1:AB1"/>
    <mergeCell ref="A2:A3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CA25"/>
  <sheetViews>
    <sheetView zoomScalePageLayoutView="0" workbookViewId="0" topLeftCell="A1">
      <pane xSplit="1" topLeftCell="BR1" activePane="topRight" state="frozen"/>
      <selection pane="topLeft" activeCell="A1" sqref="A1"/>
      <selection pane="topRight" activeCell="BX25" sqref="BX25"/>
    </sheetView>
  </sheetViews>
  <sheetFormatPr defaultColWidth="9.140625" defaultRowHeight="15"/>
  <cols>
    <col min="1" max="1" width="52.57421875" style="335" customWidth="1"/>
    <col min="2" max="2" width="15.140625" style="204" customWidth="1"/>
    <col min="3" max="3" width="11.140625" style="204" bestFit="1" customWidth="1"/>
    <col min="4" max="4" width="9.00390625" style="204" bestFit="1" customWidth="1"/>
    <col min="5" max="5" width="11.28125" style="204" customWidth="1"/>
    <col min="6" max="6" width="11.8515625" style="204" bestFit="1" customWidth="1"/>
    <col min="7" max="7" width="14.421875" style="204" bestFit="1" customWidth="1"/>
    <col min="8" max="8" width="9.7109375" style="204" bestFit="1" customWidth="1"/>
    <col min="9" max="9" width="10.00390625" style="204" bestFit="1" customWidth="1"/>
    <col min="10" max="10" width="8.7109375" style="204" bestFit="1" customWidth="1"/>
    <col min="11" max="11" width="11.57421875" style="204" customWidth="1"/>
    <col min="12" max="12" width="10.8515625" style="204" customWidth="1"/>
    <col min="13" max="13" width="14.421875" style="441" bestFit="1" customWidth="1"/>
    <col min="14" max="14" width="12.57421875" style="204" customWidth="1"/>
    <col min="15" max="15" width="11.8515625" style="204" bestFit="1" customWidth="1"/>
    <col min="16" max="16" width="14.421875" style="204" bestFit="1" customWidth="1"/>
    <col min="17" max="17" width="11.421875" style="204" customWidth="1"/>
    <col min="18" max="18" width="11.8515625" style="204" bestFit="1" customWidth="1"/>
    <col min="19" max="19" width="14.421875" style="204" bestFit="1" customWidth="1"/>
    <col min="20" max="20" width="11.00390625" style="204" customWidth="1"/>
    <col min="21" max="21" width="11.8515625" style="204" bestFit="1" customWidth="1"/>
    <col min="22" max="22" width="14.421875" style="204" bestFit="1" customWidth="1"/>
    <col min="23" max="23" width="10.00390625" style="204" bestFit="1" customWidth="1"/>
    <col min="24" max="24" width="12.140625" style="204" bestFit="1" customWidth="1"/>
    <col min="25" max="25" width="14.421875" style="204" bestFit="1" customWidth="1"/>
    <col min="26" max="26" width="11.140625" style="204" customWidth="1"/>
    <col min="27" max="27" width="11.8515625" style="204" bestFit="1" customWidth="1"/>
    <col min="28" max="28" width="14.421875" style="204" bestFit="1" customWidth="1"/>
    <col min="29" max="29" width="11.421875" style="204" customWidth="1"/>
    <col min="30" max="30" width="11.140625" style="204" customWidth="1"/>
    <col min="31" max="31" width="12.140625" style="204" customWidth="1"/>
    <col min="32" max="32" width="12.8515625" style="204" customWidth="1"/>
    <col min="33" max="33" width="11.8515625" style="204" bestFit="1" customWidth="1"/>
    <col min="34" max="34" width="14.421875" style="204" bestFit="1" customWidth="1"/>
    <col min="35" max="35" width="11.7109375" style="204" customWidth="1"/>
    <col min="36" max="36" width="11.8515625" style="204" bestFit="1" customWidth="1"/>
    <col min="37" max="37" width="14.421875" style="204" bestFit="1" customWidth="1"/>
    <col min="38" max="38" width="12.140625" style="204" customWidth="1"/>
    <col min="39" max="39" width="11.8515625" style="204" bestFit="1" customWidth="1"/>
    <col min="40" max="40" width="14.421875" style="204" bestFit="1" customWidth="1"/>
    <col min="41" max="41" width="12.28125" style="204" customWidth="1"/>
    <col min="42" max="42" width="11.8515625" style="204" bestFit="1" customWidth="1"/>
    <col min="43" max="43" width="14.421875" style="204" bestFit="1" customWidth="1"/>
    <col min="44" max="44" width="10.28125" style="204" bestFit="1" customWidth="1"/>
    <col min="45" max="45" width="11.8515625" style="204" bestFit="1" customWidth="1"/>
    <col min="46" max="46" width="14.421875" style="204" bestFit="1" customWidth="1"/>
    <col min="47" max="47" width="12.00390625" style="204" customWidth="1"/>
    <col min="48" max="48" width="11.8515625" style="204" bestFit="1" customWidth="1"/>
    <col min="49" max="49" width="14.421875" style="204" bestFit="1" customWidth="1"/>
    <col min="50" max="50" width="13.57421875" style="204" customWidth="1"/>
    <col min="51" max="51" width="11.8515625" style="204" bestFit="1" customWidth="1"/>
    <col min="52" max="52" width="14.421875" style="204" bestFit="1" customWidth="1"/>
    <col min="53" max="53" width="11.140625" style="204" customWidth="1"/>
    <col min="54" max="54" width="11.8515625" style="204" bestFit="1" customWidth="1"/>
    <col min="55" max="55" width="14.421875" style="204" bestFit="1" customWidth="1"/>
    <col min="56" max="56" width="13.57421875" style="204" customWidth="1"/>
    <col min="57" max="57" width="11.8515625" style="204" bestFit="1" customWidth="1"/>
    <col min="58" max="58" width="18.421875" style="204" customWidth="1"/>
    <col min="59" max="59" width="11.421875" style="204" customWidth="1"/>
    <col min="60" max="60" width="11.8515625" style="204" bestFit="1" customWidth="1"/>
    <col min="61" max="61" width="14.421875" style="204" bestFit="1" customWidth="1"/>
    <col min="62" max="62" width="12.7109375" style="204" customWidth="1"/>
    <col min="63" max="63" width="11.8515625" style="204" bestFit="1" customWidth="1"/>
    <col min="64" max="64" width="14.421875" style="204" bestFit="1" customWidth="1"/>
    <col min="65" max="65" width="12.57421875" style="204" customWidth="1"/>
    <col min="66" max="66" width="11.8515625" style="204" bestFit="1" customWidth="1"/>
    <col min="67" max="67" width="14.421875" style="204" bestFit="1" customWidth="1"/>
    <col min="68" max="68" width="14.28125" style="204" customWidth="1"/>
    <col min="69" max="69" width="11.8515625" style="204" bestFit="1" customWidth="1"/>
    <col min="70" max="70" width="12.57421875" style="204" customWidth="1"/>
    <col min="71" max="71" width="12.140625" style="204" customWidth="1"/>
    <col min="72" max="72" width="11.8515625" style="204" bestFit="1" customWidth="1"/>
    <col min="73" max="73" width="14.421875" style="204" bestFit="1" customWidth="1"/>
    <col min="74" max="74" width="13.57421875" style="204" customWidth="1"/>
    <col min="75" max="75" width="11.8515625" style="204" bestFit="1" customWidth="1"/>
    <col min="76" max="76" width="14.421875" style="204" bestFit="1" customWidth="1"/>
    <col min="77" max="77" width="13.00390625" style="204" customWidth="1"/>
    <col min="78" max="78" width="13.140625" style="204" customWidth="1"/>
    <col min="79" max="79" width="14.421875" style="204" bestFit="1" customWidth="1"/>
    <col min="80" max="16384" width="9.140625" style="335" customWidth="1"/>
  </cols>
  <sheetData>
    <row r="1" spans="1:78" ht="18">
      <c r="A1" s="1729" t="s">
        <v>321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  <c r="L1" s="1729"/>
      <c r="M1" s="1729"/>
      <c r="N1" s="1729"/>
      <c r="O1" s="1729"/>
      <c r="P1" s="1729"/>
      <c r="Q1" s="1729"/>
      <c r="R1" s="1729"/>
      <c r="S1" s="1729"/>
      <c r="T1" s="1729"/>
      <c r="U1" s="1729"/>
      <c r="V1" s="1729"/>
      <c r="W1" s="1729"/>
      <c r="X1" s="1729"/>
      <c r="Y1" s="1729"/>
      <c r="Z1" s="1729"/>
      <c r="AA1" s="1729"/>
      <c r="AB1" s="1729"/>
      <c r="AC1" s="1729"/>
      <c r="AD1" s="1729"/>
      <c r="AE1" s="1729"/>
      <c r="AF1" s="1729"/>
      <c r="AG1" s="1729"/>
      <c r="AH1" s="1729"/>
      <c r="AI1" s="1729"/>
      <c r="AJ1" s="1729"/>
      <c r="AK1" s="1729"/>
      <c r="AL1" s="1729"/>
      <c r="AM1" s="1729"/>
      <c r="AN1" s="1729"/>
      <c r="AO1" s="1729"/>
      <c r="AP1" s="1729"/>
      <c r="AQ1" s="1729"/>
      <c r="AR1" s="1729"/>
      <c r="AS1" s="1729"/>
      <c r="AT1" s="1729"/>
      <c r="AU1" s="1729"/>
      <c r="AV1" s="1729"/>
      <c r="AW1" s="1729"/>
      <c r="AX1" s="1729"/>
      <c r="AY1" s="1729"/>
      <c r="AZ1" s="1729"/>
      <c r="BA1" s="1729"/>
      <c r="BB1" s="1729"/>
      <c r="BC1" s="1729"/>
      <c r="BD1" s="1729"/>
      <c r="BE1" s="1729"/>
      <c r="BF1" s="1729"/>
      <c r="BG1" s="1729"/>
      <c r="BH1" s="1729"/>
      <c r="BI1" s="1729"/>
      <c r="BJ1" s="1729"/>
      <c r="BK1" s="1729"/>
      <c r="BL1" s="1729"/>
      <c r="BM1" s="1729"/>
      <c r="BN1" s="1729"/>
      <c r="BO1" s="1729"/>
      <c r="BP1" s="1729"/>
      <c r="BQ1" s="1729"/>
      <c r="BR1" s="1729"/>
      <c r="BS1" s="1729"/>
      <c r="BT1" s="1729"/>
      <c r="BU1" s="1729"/>
      <c r="BV1" s="1729"/>
      <c r="BW1" s="1729"/>
      <c r="BX1" s="1729"/>
      <c r="BY1" s="1729"/>
      <c r="BZ1" s="1729"/>
    </row>
    <row r="2" spans="1:78" ht="17.25" thickBot="1">
      <c r="A2" s="1765" t="s">
        <v>264</v>
      </c>
      <c r="B2" s="1765"/>
      <c r="C2" s="1765"/>
      <c r="D2" s="1765"/>
      <c r="E2" s="1765"/>
      <c r="F2" s="1765"/>
      <c r="G2" s="1765"/>
      <c r="H2" s="1765"/>
      <c r="I2" s="1765"/>
      <c r="J2" s="1765"/>
      <c r="K2" s="1765"/>
      <c r="L2" s="1765"/>
      <c r="M2" s="1765"/>
      <c r="N2" s="1765"/>
      <c r="O2" s="1765"/>
      <c r="P2" s="1765"/>
      <c r="Q2" s="1765"/>
      <c r="R2" s="1765"/>
      <c r="S2" s="1765"/>
      <c r="T2" s="1765"/>
      <c r="U2" s="1765"/>
      <c r="V2" s="1765"/>
      <c r="W2" s="1765"/>
      <c r="X2" s="1765"/>
      <c r="Y2" s="1765"/>
      <c r="Z2" s="1765"/>
      <c r="AA2" s="1765"/>
      <c r="AB2" s="1765"/>
      <c r="AC2" s="1765"/>
      <c r="AD2" s="1765"/>
      <c r="AE2" s="1765"/>
      <c r="AF2" s="1765"/>
      <c r="AG2" s="1765"/>
      <c r="AH2" s="1765"/>
      <c r="AI2" s="1765"/>
      <c r="AJ2" s="1765"/>
      <c r="AK2" s="1765"/>
      <c r="AL2" s="1765"/>
      <c r="AM2" s="1765"/>
      <c r="AN2" s="1765"/>
      <c r="AO2" s="1765"/>
      <c r="AP2" s="1765"/>
      <c r="AQ2" s="1765"/>
      <c r="AR2" s="1765"/>
      <c r="AS2" s="1765"/>
      <c r="AT2" s="1765"/>
      <c r="AU2" s="1765"/>
      <c r="AV2" s="1765"/>
      <c r="AW2" s="1765"/>
      <c r="AX2" s="1765"/>
      <c r="AY2" s="1765"/>
      <c r="AZ2" s="1765"/>
      <c r="BA2" s="1765"/>
      <c r="BB2" s="1765"/>
      <c r="BC2" s="1765"/>
      <c r="BD2" s="1765"/>
      <c r="BE2" s="1765"/>
      <c r="BF2" s="1765"/>
      <c r="BG2" s="1765"/>
      <c r="BH2" s="1765"/>
      <c r="BI2" s="1765"/>
      <c r="BJ2" s="1765"/>
      <c r="BK2" s="1765"/>
      <c r="BL2" s="1765"/>
      <c r="BM2" s="1765"/>
      <c r="BN2" s="1765"/>
      <c r="BO2" s="1765"/>
      <c r="BP2" s="1765"/>
      <c r="BQ2" s="1765"/>
      <c r="BR2" s="1765"/>
      <c r="BS2" s="1765"/>
      <c r="BT2" s="1765"/>
      <c r="BU2" s="1765"/>
      <c r="BV2" s="1765"/>
      <c r="BW2" s="1765"/>
      <c r="BX2" s="1765"/>
      <c r="BY2" s="1765"/>
      <c r="BZ2" s="1765"/>
    </row>
    <row r="3" spans="1:79" s="358" customFormat="1" ht="31.5" customHeight="1">
      <c r="A3" s="639"/>
      <c r="B3" s="1766" t="s">
        <v>190</v>
      </c>
      <c r="C3" s="1767"/>
      <c r="D3" s="1768"/>
      <c r="E3" s="1769" t="s">
        <v>191</v>
      </c>
      <c r="F3" s="1770"/>
      <c r="G3" s="1771"/>
      <c r="H3" s="1769" t="s">
        <v>192</v>
      </c>
      <c r="I3" s="1770"/>
      <c r="J3" s="1771"/>
      <c r="K3" s="1769" t="s">
        <v>193</v>
      </c>
      <c r="L3" s="1770"/>
      <c r="M3" s="1771"/>
      <c r="N3" s="1769" t="s">
        <v>194</v>
      </c>
      <c r="O3" s="1770"/>
      <c r="P3" s="1771"/>
      <c r="Q3" s="1769" t="s">
        <v>195</v>
      </c>
      <c r="R3" s="1770"/>
      <c r="S3" s="1771"/>
      <c r="T3" s="1772" t="s">
        <v>196</v>
      </c>
      <c r="U3" s="1770"/>
      <c r="V3" s="1771"/>
      <c r="W3" s="1769" t="s">
        <v>197</v>
      </c>
      <c r="X3" s="1770"/>
      <c r="Y3" s="1771"/>
      <c r="Z3" s="1769" t="s">
        <v>198</v>
      </c>
      <c r="AA3" s="1770"/>
      <c r="AB3" s="1771"/>
      <c r="AC3" s="1769" t="s">
        <v>199</v>
      </c>
      <c r="AD3" s="1770"/>
      <c r="AE3" s="1771"/>
      <c r="AF3" s="1769" t="s">
        <v>200</v>
      </c>
      <c r="AG3" s="1770"/>
      <c r="AH3" s="1771"/>
      <c r="AI3" s="1769" t="s">
        <v>201</v>
      </c>
      <c r="AJ3" s="1770"/>
      <c r="AK3" s="1771"/>
      <c r="AL3" s="1769" t="s">
        <v>202</v>
      </c>
      <c r="AM3" s="1770"/>
      <c r="AN3" s="1771"/>
      <c r="AO3" s="1769" t="s">
        <v>203</v>
      </c>
      <c r="AP3" s="1770"/>
      <c r="AQ3" s="1771"/>
      <c r="AR3" s="1774" t="s">
        <v>204</v>
      </c>
      <c r="AS3" s="1775"/>
      <c r="AT3" s="1776"/>
      <c r="AU3" s="1769" t="s">
        <v>205</v>
      </c>
      <c r="AV3" s="1770"/>
      <c r="AW3" s="1771"/>
      <c r="AX3" s="1769" t="s">
        <v>206</v>
      </c>
      <c r="AY3" s="1770"/>
      <c r="AZ3" s="1771"/>
      <c r="BA3" s="1769" t="s">
        <v>207</v>
      </c>
      <c r="BB3" s="1770"/>
      <c r="BC3" s="1771"/>
      <c r="BD3" s="1774" t="s">
        <v>208</v>
      </c>
      <c r="BE3" s="1775"/>
      <c r="BF3" s="1776"/>
      <c r="BG3" s="1769" t="s">
        <v>209</v>
      </c>
      <c r="BH3" s="1770"/>
      <c r="BI3" s="1771"/>
      <c r="BJ3" s="1769" t="s">
        <v>210</v>
      </c>
      <c r="BK3" s="1770"/>
      <c r="BL3" s="1771"/>
      <c r="BM3" s="1769" t="s">
        <v>211</v>
      </c>
      <c r="BN3" s="1770"/>
      <c r="BO3" s="1771"/>
      <c r="BP3" s="1769" t="s">
        <v>212</v>
      </c>
      <c r="BQ3" s="1770"/>
      <c r="BR3" s="1773"/>
      <c r="BS3" s="1772" t="s">
        <v>1</v>
      </c>
      <c r="BT3" s="1770"/>
      <c r="BU3" s="1771"/>
      <c r="BV3" s="1774" t="s">
        <v>213</v>
      </c>
      <c r="BW3" s="1775"/>
      <c r="BX3" s="1776"/>
      <c r="BY3" s="1777" t="s">
        <v>2</v>
      </c>
      <c r="BZ3" s="1775"/>
      <c r="CA3" s="1776"/>
    </row>
    <row r="4" spans="1:79" s="1128" customFormat="1" ht="72" thickBot="1">
      <c r="A4" s="1127" t="s">
        <v>0</v>
      </c>
      <c r="B4" s="1250" t="s">
        <v>265</v>
      </c>
      <c r="C4" s="1251" t="s">
        <v>266</v>
      </c>
      <c r="D4" s="1252" t="s">
        <v>267</v>
      </c>
      <c r="E4" s="1253" t="s">
        <v>265</v>
      </c>
      <c r="F4" s="1251" t="s">
        <v>266</v>
      </c>
      <c r="G4" s="1252" t="s">
        <v>267</v>
      </c>
      <c r="H4" s="1253" t="s">
        <v>265</v>
      </c>
      <c r="I4" s="1251" t="s">
        <v>266</v>
      </c>
      <c r="J4" s="1252" t="s">
        <v>267</v>
      </c>
      <c r="K4" s="1253" t="s">
        <v>265</v>
      </c>
      <c r="L4" s="1251" t="s">
        <v>266</v>
      </c>
      <c r="M4" s="1254" t="s">
        <v>267</v>
      </c>
      <c r="N4" s="1253" t="s">
        <v>265</v>
      </c>
      <c r="O4" s="1251" t="s">
        <v>266</v>
      </c>
      <c r="P4" s="1252" t="s">
        <v>267</v>
      </c>
      <c r="Q4" s="1253" t="s">
        <v>265</v>
      </c>
      <c r="R4" s="1251" t="s">
        <v>266</v>
      </c>
      <c r="S4" s="1252" t="s">
        <v>267</v>
      </c>
      <c r="T4" s="1250" t="s">
        <v>265</v>
      </c>
      <c r="U4" s="1251" t="s">
        <v>266</v>
      </c>
      <c r="V4" s="1252" t="s">
        <v>267</v>
      </c>
      <c r="W4" s="1253" t="s">
        <v>265</v>
      </c>
      <c r="X4" s="1251" t="s">
        <v>266</v>
      </c>
      <c r="Y4" s="1252" t="s">
        <v>267</v>
      </c>
      <c r="Z4" s="1253" t="s">
        <v>265</v>
      </c>
      <c r="AA4" s="1251" t="s">
        <v>266</v>
      </c>
      <c r="AB4" s="1252" t="s">
        <v>267</v>
      </c>
      <c r="AC4" s="1253" t="s">
        <v>265</v>
      </c>
      <c r="AD4" s="1251" t="s">
        <v>266</v>
      </c>
      <c r="AE4" s="1252" t="s">
        <v>267</v>
      </c>
      <c r="AF4" s="1253" t="s">
        <v>265</v>
      </c>
      <c r="AG4" s="1251" t="s">
        <v>266</v>
      </c>
      <c r="AH4" s="1252" t="s">
        <v>267</v>
      </c>
      <c r="AI4" s="1253" t="s">
        <v>265</v>
      </c>
      <c r="AJ4" s="1251" t="s">
        <v>266</v>
      </c>
      <c r="AK4" s="1252" t="s">
        <v>267</v>
      </c>
      <c r="AL4" s="1253" t="s">
        <v>265</v>
      </c>
      <c r="AM4" s="1251" t="s">
        <v>266</v>
      </c>
      <c r="AN4" s="1252" t="s">
        <v>267</v>
      </c>
      <c r="AO4" s="1253" t="s">
        <v>265</v>
      </c>
      <c r="AP4" s="1251" t="s">
        <v>266</v>
      </c>
      <c r="AQ4" s="1252" t="s">
        <v>267</v>
      </c>
      <c r="AR4" s="1253" t="s">
        <v>265</v>
      </c>
      <c r="AS4" s="1251" t="s">
        <v>266</v>
      </c>
      <c r="AT4" s="1252" t="s">
        <v>267</v>
      </c>
      <c r="AU4" s="1253" t="s">
        <v>265</v>
      </c>
      <c r="AV4" s="1251" t="s">
        <v>266</v>
      </c>
      <c r="AW4" s="1252" t="s">
        <v>267</v>
      </c>
      <c r="AX4" s="1253" t="s">
        <v>265</v>
      </c>
      <c r="AY4" s="1251" t="s">
        <v>266</v>
      </c>
      <c r="AZ4" s="1252" t="s">
        <v>267</v>
      </c>
      <c r="BA4" s="1253" t="s">
        <v>265</v>
      </c>
      <c r="BB4" s="1251" t="s">
        <v>266</v>
      </c>
      <c r="BC4" s="1252" t="s">
        <v>267</v>
      </c>
      <c r="BD4" s="1253" t="s">
        <v>265</v>
      </c>
      <c r="BE4" s="1251" t="s">
        <v>266</v>
      </c>
      <c r="BF4" s="1252" t="s">
        <v>267</v>
      </c>
      <c r="BG4" s="1253" t="s">
        <v>265</v>
      </c>
      <c r="BH4" s="1251" t="s">
        <v>266</v>
      </c>
      <c r="BI4" s="1252" t="s">
        <v>267</v>
      </c>
      <c r="BJ4" s="1253" t="s">
        <v>265</v>
      </c>
      <c r="BK4" s="1251" t="s">
        <v>266</v>
      </c>
      <c r="BL4" s="1252" t="s">
        <v>267</v>
      </c>
      <c r="BM4" s="1253" t="s">
        <v>265</v>
      </c>
      <c r="BN4" s="1251" t="s">
        <v>266</v>
      </c>
      <c r="BO4" s="1252" t="s">
        <v>267</v>
      </c>
      <c r="BP4" s="1253" t="s">
        <v>265</v>
      </c>
      <c r="BQ4" s="1251" t="s">
        <v>266</v>
      </c>
      <c r="BR4" s="1466" t="s">
        <v>267</v>
      </c>
      <c r="BS4" s="1250" t="s">
        <v>265</v>
      </c>
      <c r="BT4" s="1251" t="s">
        <v>266</v>
      </c>
      <c r="BU4" s="1252" t="s">
        <v>267</v>
      </c>
      <c r="BV4" s="1253" t="s">
        <v>265</v>
      </c>
      <c r="BW4" s="1251" t="s">
        <v>266</v>
      </c>
      <c r="BX4" s="1252" t="s">
        <v>267</v>
      </c>
      <c r="BY4" s="1250" t="s">
        <v>265</v>
      </c>
      <c r="BZ4" s="1251" t="s">
        <v>266</v>
      </c>
      <c r="CA4" s="1252" t="s">
        <v>267</v>
      </c>
    </row>
    <row r="5" spans="1:79" ht="16.5">
      <c r="A5" s="643" t="s">
        <v>268</v>
      </c>
      <c r="B5" s="1255"/>
      <c r="C5" s="773"/>
      <c r="D5" s="774"/>
      <c r="E5" s="1256"/>
      <c r="F5" s="1257"/>
      <c r="G5" s="1258"/>
      <c r="H5" s="1256"/>
      <c r="I5" s="1257"/>
      <c r="J5" s="1258"/>
      <c r="K5" s="1256"/>
      <c r="L5" s="1257"/>
      <c r="M5" s="1259"/>
      <c r="N5" s="1256"/>
      <c r="O5" s="1257"/>
      <c r="P5" s="1258"/>
      <c r="Q5" s="1256"/>
      <c r="R5" s="1257"/>
      <c r="S5" s="1258"/>
      <c r="T5" s="1260"/>
      <c r="U5" s="1257"/>
      <c r="V5" s="1258"/>
      <c r="W5" s="1256"/>
      <c r="X5" s="1257"/>
      <c r="Y5" s="1258"/>
      <c r="Z5" s="1256"/>
      <c r="AA5" s="1257"/>
      <c r="AB5" s="1258"/>
      <c r="AC5" s="1256"/>
      <c r="AD5" s="1257"/>
      <c r="AE5" s="1258"/>
      <c r="AF5" s="1256"/>
      <c r="AG5" s="1257"/>
      <c r="AH5" s="1258"/>
      <c r="AI5" s="1256"/>
      <c r="AJ5" s="1257"/>
      <c r="AK5" s="1258"/>
      <c r="AL5" s="1261"/>
      <c r="AM5" s="1262"/>
      <c r="AN5" s="1263"/>
      <c r="AO5" s="1256"/>
      <c r="AP5" s="1257"/>
      <c r="AQ5" s="1258"/>
      <c r="AR5" s="1256"/>
      <c r="AS5" s="1257"/>
      <c r="AT5" s="1258"/>
      <c r="AU5" s="1256"/>
      <c r="AV5" s="1257"/>
      <c r="AW5" s="1258"/>
      <c r="AX5" s="1256"/>
      <c r="AY5" s="1257"/>
      <c r="AZ5" s="1258"/>
      <c r="BA5" s="1256"/>
      <c r="BB5" s="1257"/>
      <c r="BC5" s="1258"/>
      <c r="BD5" s="1264"/>
      <c r="BE5" s="1257"/>
      <c r="BF5" s="1258"/>
      <c r="BG5" s="1265"/>
      <c r="BH5" s="337"/>
      <c r="BI5" s="331"/>
      <c r="BJ5" s="1266"/>
      <c r="BK5" s="1267"/>
      <c r="BL5" s="1259"/>
      <c r="BM5" s="1268"/>
      <c r="BN5" s="1269"/>
      <c r="BO5" s="1270"/>
      <c r="BP5" s="1256"/>
      <c r="BQ5" s="1257"/>
      <c r="BR5" s="1427"/>
      <c r="BS5" s="1260"/>
      <c r="BT5" s="1257"/>
      <c r="BU5" s="1258"/>
      <c r="BV5" s="1268"/>
      <c r="BW5" s="1269"/>
      <c r="BX5" s="1270"/>
      <c r="BY5" s="1260"/>
      <c r="BZ5" s="1257"/>
      <c r="CA5" s="1274"/>
    </row>
    <row r="6" spans="1:79" ht="16.5">
      <c r="A6" s="640" t="s">
        <v>269</v>
      </c>
      <c r="B6" s="284">
        <v>2060511</v>
      </c>
      <c r="C6" s="285">
        <v>1579118</v>
      </c>
      <c r="D6" s="286">
        <v>392629</v>
      </c>
      <c r="E6" s="287">
        <v>1093807</v>
      </c>
      <c r="F6" s="288">
        <v>875120</v>
      </c>
      <c r="G6" s="289">
        <v>218687</v>
      </c>
      <c r="H6" s="287">
        <v>527781</v>
      </c>
      <c r="I6" s="288">
        <v>469780</v>
      </c>
      <c r="J6" s="289">
        <v>58001</v>
      </c>
      <c r="K6" s="287">
        <v>304053</v>
      </c>
      <c r="L6" s="288">
        <v>229378</v>
      </c>
      <c r="M6" s="294">
        <v>74675</v>
      </c>
      <c r="N6" s="287">
        <v>366733</v>
      </c>
      <c r="O6" s="288">
        <v>311530</v>
      </c>
      <c r="P6" s="289">
        <v>55203</v>
      </c>
      <c r="Q6" s="287">
        <v>886185</v>
      </c>
      <c r="R6" s="289">
        <v>860894</v>
      </c>
      <c r="S6" s="289">
        <v>25291</v>
      </c>
      <c r="T6" s="298">
        <v>587801</v>
      </c>
      <c r="U6" s="288">
        <v>383106</v>
      </c>
      <c r="V6" s="289">
        <v>282486</v>
      </c>
      <c r="W6" s="287">
        <v>694284</v>
      </c>
      <c r="X6" s="288">
        <v>295132</v>
      </c>
      <c r="Y6" s="289">
        <v>399151</v>
      </c>
      <c r="Z6" s="287">
        <v>477968</v>
      </c>
      <c r="AA6" s="288">
        <v>383782</v>
      </c>
      <c r="AB6" s="289">
        <v>94186</v>
      </c>
      <c r="AC6" s="287">
        <v>589833</v>
      </c>
      <c r="AD6" s="288">
        <v>387080</v>
      </c>
      <c r="AE6" s="289">
        <v>202753</v>
      </c>
      <c r="AF6" s="287">
        <v>1996677</v>
      </c>
      <c r="AG6" s="288">
        <v>1566553</v>
      </c>
      <c r="AH6" s="289">
        <v>430124</v>
      </c>
      <c r="AI6" s="287">
        <v>1243482</v>
      </c>
      <c r="AJ6" s="288">
        <v>1100183</v>
      </c>
      <c r="AK6" s="289">
        <v>143299</v>
      </c>
      <c r="AL6" s="1275">
        <v>460857</v>
      </c>
      <c r="AM6" s="290">
        <v>407180</v>
      </c>
      <c r="AN6" s="1276">
        <v>53677</v>
      </c>
      <c r="AO6" s="287">
        <v>435192</v>
      </c>
      <c r="AP6" s="288">
        <v>314872</v>
      </c>
      <c r="AQ6" s="289">
        <v>110319</v>
      </c>
      <c r="AR6" s="287">
        <v>1715364</v>
      </c>
      <c r="AS6" s="288">
        <v>1483667</v>
      </c>
      <c r="AT6" s="289">
        <v>231697</v>
      </c>
      <c r="AU6" s="287">
        <v>3966486</v>
      </c>
      <c r="AV6" s="288">
        <v>2953698</v>
      </c>
      <c r="AW6" s="289">
        <v>1012788</v>
      </c>
      <c r="AX6" s="287">
        <v>1191788</v>
      </c>
      <c r="AY6" s="288">
        <v>955361</v>
      </c>
      <c r="AZ6" s="289">
        <v>236427</v>
      </c>
      <c r="BA6" s="287">
        <v>541053</v>
      </c>
      <c r="BB6" s="288">
        <v>429632</v>
      </c>
      <c r="BC6" s="289">
        <v>111421</v>
      </c>
      <c r="BD6" s="291"/>
      <c r="BE6" s="288"/>
      <c r="BF6" s="312"/>
      <c r="BG6" s="23">
        <v>2054534</v>
      </c>
      <c r="BH6" s="24">
        <v>1644441</v>
      </c>
      <c r="BI6" s="25">
        <v>410093</v>
      </c>
      <c r="BJ6" s="1277">
        <v>401985</v>
      </c>
      <c r="BK6" s="296">
        <v>206845</v>
      </c>
      <c r="BL6" s="297">
        <v>195140</v>
      </c>
      <c r="BM6" s="1277">
        <v>554212</v>
      </c>
      <c r="BN6" s="296">
        <v>489759</v>
      </c>
      <c r="BO6" s="297">
        <v>64453</v>
      </c>
      <c r="BP6" s="287">
        <v>1639455</v>
      </c>
      <c r="BQ6" s="288">
        <v>1160626</v>
      </c>
      <c r="BR6" s="751">
        <v>478829</v>
      </c>
      <c r="BS6" s="298">
        <f aca="true" t="shared" si="0" ref="BS6:BS20">B6+E6+H6+K6+N6+Q6+T6+W6+Z6+AC6+AF6+AI6+AL6+AO6+AR6+AU6+AX6+BA6+BD6+BG6+BJ6+BM6+BP6</f>
        <v>23790041</v>
      </c>
      <c r="BT6" s="288">
        <f aca="true" t="shared" si="1" ref="BT6:BU20">C6+F6+I6+L6+O6+R6+U6+X6+AA6+AD6+AG6+AJ6+AM6+AP6+AS6+AV6+AY6+BB6+BE6+BH6+BK6+BN6+BQ6</f>
        <v>18487737</v>
      </c>
      <c r="BU6" s="289">
        <f t="shared" si="1"/>
        <v>5281329</v>
      </c>
      <c r="BV6" s="1277">
        <v>499114</v>
      </c>
      <c r="BW6" s="296">
        <v>140325</v>
      </c>
      <c r="BX6" s="297">
        <v>358789</v>
      </c>
      <c r="BY6" s="298">
        <f aca="true" t="shared" si="2" ref="BY6:BY20">BS6+BV6</f>
        <v>24289155</v>
      </c>
      <c r="BZ6" s="288">
        <f aca="true" t="shared" si="3" ref="BZ6:CA20">BT6+BW6</f>
        <v>18628062</v>
      </c>
      <c r="CA6" s="289">
        <f t="shared" si="3"/>
        <v>5640118</v>
      </c>
    </row>
    <row r="7" spans="1:79" ht="16.5">
      <c r="A7" s="640" t="s">
        <v>270</v>
      </c>
      <c r="B7" s="284"/>
      <c r="C7" s="285"/>
      <c r="D7" s="286"/>
      <c r="E7" s="287"/>
      <c r="F7" s="288"/>
      <c r="G7" s="289"/>
      <c r="H7" s="287"/>
      <c r="I7" s="288"/>
      <c r="J7" s="289"/>
      <c r="K7" s="287">
        <v>6808</v>
      </c>
      <c r="L7" s="288"/>
      <c r="M7" s="294">
        <v>6808</v>
      </c>
      <c r="N7" s="287"/>
      <c r="O7" s="288"/>
      <c r="P7" s="289"/>
      <c r="Q7" s="287"/>
      <c r="R7" s="289"/>
      <c r="S7" s="289"/>
      <c r="T7" s="298"/>
      <c r="U7" s="288"/>
      <c r="V7" s="289"/>
      <c r="W7" s="287"/>
      <c r="X7" s="288"/>
      <c r="Y7" s="289"/>
      <c r="Z7" s="287"/>
      <c r="AA7" s="288"/>
      <c r="AB7" s="289"/>
      <c r="AC7" s="287"/>
      <c r="AD7" s="288"/>
      <c r="AE7" s="289"/>
      <c r="AF7" s="287"/>
      <c r="AG7" s="288"/>
      <c r="AH7" s="289"/>
      <c r="AI7" s="287">
        <v>903280</v>
      </c>
      <c r="AJ7" s="288"/>
      <c r="AK7" s="289">
        <v>903280</v>
      </c>
      <c r="AL7" s="1275"/>
      <c r="AM7" s="290"/>
      <c r="AN7" s="1276"/>
      <c r="AO7" s="287"/>
      <c r="AP7" s="288"/>
      <c r="AQ7" s="289"/>
      <c r="AR7" s="857"/>
      <c r="AS7" s="858"/>
      <c r="AT7" s="289"/>
      <c r="AU7" s="287"/>
      <c r="AV7" s="288"/>
      <c r="AW7" s="289"/>
      <c r="AX7" s="287"/>
      <c r="AY7" s="288"/>
      <c r="AZ7" s="289"/>
      <c r="BA7" s="287"/>
      <c r="BB7" s="288"/>
      <c r="BC7" s="289"/>
      <c r="BD7" s="291"/>
      <c r="BE7" s="288"/>
      <c r="BF7" s="312"/>
      <c r="BG7" s="23">
        <v>1762522</v>
      </c>
      <c r="BH7" s="107"/>
      <c r="BI7" s="25">
        <v>1762522</v>
      </c>
      <c r="BJ7" s="1277">
        <v>56334</v>
      </c>
      <c r="BK7" s="296"/>
      <c r="BL7" s="297">
        <v>56334</v>
      </c>
      <c r="BM7" s="1277"/>
      <c r="BN7" s="296"/>
      <c r="BO7" s="297"/>
      <c r="BP7" s="287"/>
      <c r="BQ7" s="288"/>
      <c r="BR7" s="751"/>
      <c r="BS7" s="298">
        <f t="shared" si="0"/>
        <v>2728944</v>
      </c>
      <c r="BT7" s="288">
        <f t="shared" si="1"/>
        <v>0</v>
      </c>
      <c r="BU7" s="289">
        <f t="shared" si="1"/>
        <v>2728944</v>
      </c>
      <c r="BV7" s="287">
        <v>937731</v>
      </c>
      <c r="BW7" s="288"/>
      <c r="BX7" s="297">
        <v>937731</v>
      </c>
      <c r="BY7" s="298">
        <f t="shared" si="2"/>
        <v>3666675</v>
      </c>
      <c r="BZ7" s="288">
        <f t="shared" si="3"/>
        <v>0</v>
      </c>
      <c r="CA7" s="289">
        <f t="shared" si="3"/>
        <v>3666675</v>
      </c>
    </row>
    <row r="8" spans="1:79" ht="16.5">
      <c r="A8" s="640" t="s">
        <v>271</v>
      </c>
      <c r="B8" s="284"/>
      <c r="C8" s="285"/>
      <c r="D8" s="286"/>
      <c r="E8" s="287">
        <v>51148</v>
      </c>
      <c r="F8" s="288">
        <v>26518</v>
      </c>
      <c r="G8" s="289">
        <v>24630</v>
      </c>
      <c r="H8" s="287"/>
      <c r="I8" s="288"/>
      <c r="J8" s="289"/>
      <c r="K8" s="287">
        <v>442404</v>
      </c>
      <c r="L8" s="288">
        <v>278533</v>
      </c>
      <c r="M8" s="294">
        <v>163871</v>
      </c>
      <c r="N8" s="287"/>
      <c r="O8" s="288"/>
      <c r="P8" s="289"/>
      <c r="Q8" s="287">
        <v>52945</v>
      </c>
      <c r="R8" s="289">
        <v>38838</v>
      </c>
      <c r="S8" s="289">
        <v>14107</v>
      </c>
      <c r="T8" s="298">
        <v>218295</v>
      </c>
      <c r="U8" s="288">
        <v>94365</v>
      </c>
      <c r="V8" s="289">
        <v>91689</v>
      </c>
      <c r="W8" s="287"/>
      <c r="X8" s="288"/>
      <c r="Y8" s="289"/>
      <c r="Z8" s="287">
        <v>599417</v>
      </c>
      <c r="AA8" s="288">
        <v>496193</v>
      </c>
      <c r="AB8" s="289">
        <v>103224</v>
      </c>
      <c r="AC8" s="287">
        <v>124806</v>
      </c>
      <c r="AD8" s="288">
        <v>57239</v>
      </c>
      <c r="AE8" s="289">
        <v>67567</v>
      </c>
      <c r="AF8" s="287">
        <v>15594</v>
      </c>
      <c r="AG8" s="288">
        <v>14055</v>
      </c>
      <c r="AH8" s="289">
        <v>1539</v>
      </c>
      <c r="AI8" s="287">
        <v>1350278</v>
      </c>
      <c r="AJ8" s="288">
        <v>1003932</v>
      </c>
      <c r="AK8" s="289">
        <v>346346</v>
      </c>
      <c r="AL8" s="287"/>
      <c r="AM8" s="288"/>
      <c r="AN8" s="1276"/>
      <c r="AO8" s="287"/>
      <c r="AP8" s="288"/>
      <c r="AQ8" s="289"/>
      <c r="AR8" s="287"/>
      <c r="AS8" s="288"/>
      <c r="AT8" s="289"/>
      <c r="AU8" s="287">
        <v>1269155</v>
      </c>
      <c r="AV8" s="288">
        <v>1019519</v>
      </c>
      <c r="AW8" s="289">
        <v>249636</v>
      </c>
      <c r="AX8" s="287">
        <v>191858</v>
      </c>
      <c r="AY8" s="288">
        <v>131818</v>
      </c>
      <c r="AZ8" s="289">
        <v>60040</v>
      </c>
      <c r="BA8" s="287">
        <v>142512</v>
      </c>
      <c r="BB8" s="288">
        <v>66052</v>
      </c>
      <c r="BC8" s="289">
        <v>76460</v>
      </c>
      <c r="BD8" s="291"/>
      <c r="BE8" s="288"/>
      <c r="BF8" s="312"/>
      <c r="BG8" s="45"/>
      <c r="BH8" s="107"/>
      <c r="BI8" s="108"/>
      <c r="BJ8" s="1277"/>
      <c r="BK8" s="296"/>
      <c r="BL8" s="297"/>
      <c r="BM8" s="1277"/>
      <c r="BN8" s="296"/>
      <c r="BO8" s="297"/>
      <c r="BP8" s="287">
        <v>678034</v>
      </c>
      <c r="BQ8" s="288">
        <v>609963</v>
      </c>
      <c r="BR8" s="751">
        <v>68071</v>
      </c>
      <c r="BS8" s="298">
        <f t="shared" si="0"/>
        <v>5136446</v>
      </c>
      <c r="BT8" s="288">
        <f t="shared" si="1"/>
        <v>3837025</v>
      </c>
      <c r="BU8" s="289">
        <f t="shared" si="1"/>
        <v>1267180</v>
      </c>
      <c r="BV8" s="1277">
        <v>881720</v>
      </c>
      <c r="BW8" s="296">
        <v>91133</v>
      </c>
      <c r="BX8" s="297">
        <v>790587</v>
      </c>
      <c r="BY8" s="298">
        <f t="shared" si="2"/>
        <v>6018166</v>
      </c>
      <c r="BZ8" s="288">
        <f t="shared" si="3"/>
        <v>3928158</v>
      </c>
      <c r="CA8" s="289">
        <f t="shared" si="3"/>
        <v>2057767</v>
      </c>
    </row>
    <row r="9" spans="1:79" ht="16.5">
      <c r="A9" s="640" t="s">
        <v>272</v>
      </c>
      <c r="B9" s="284"/>
      <c r="C9" s="285"/>
      <c r="D9" s="286"/>
      <c r="E9" s="287"/>
      <c r="F9" s="288"/>
      <c r="G9" s="289"/>
      <c r="H9" s="287"/>
      <c r="I9" s="288"/>
      <c r="J9" s="289"/>
      <c r="K9" s="287">
        <v>1928014</v>
      </c>
      <c r="L9" s="288">
        <v>292768</v>
      </c>
      <c r="M9" s="294">
        <v>1635246</v>
      </c>
      <c r="N9" s="287"/>
      <c r="O9" s="288"/>
      <c r="P9" s="289"/>
      <c r="Q9" s="287"/>
      <c r="R9" s="288"/>
      <c r="S9" s="289"/>
      <c r="T9" s="298"/>
      <c r="U9" s="288"/>
      <c r="V9" s="289"/>
      <c r="W9" s="287">
        <v>275785</v>
      </c>
      <c r="X9" s="288">
        <v>20630</v>
      </c>
      <c r="Y9" s="289">
        <v>255155</v>
      </c>
      <c r="Z9" s="287"/>
      <c r="AA9" s="288"/>
      <c r="AB9" s="289"/>
      <c r="AC9" s="287"/>
      <c r="AD9" s="288"/>
      <c r="AE9" s="289"/>
      <c r="AF9" s="287">
        <v>2866745</v>
      </c>
      <c r="AG9" s="288">
        <v>400683</v>
      </c>
      <c r="AH9" s="289">
        <v>2466062</v>
      </c>
      <c r="AI9" s="287">
        <v>2126488</v>
      </c>
      <c r="AJ9" s="288">
        <v>60197</v>
      </c>
      <c r="AK9" s="289">
        <v>2066291</v>
      </c>
      <c r="AL9" s="287">
        <v>1218797</v>
      </c>
      <c r="AM9" s="288">
        <v>48218</v>
      </c>
      <c r="AN9" s="1276">
        <v>1170579</v>
      </c>
      <c r="AO9" s="287"/>
      <c r="AP9" s="288"/>
      <c r="AQ9" s="289"/>
      <c r="AR9" s="287"/>
      <c r="AS9" s="288"/>
      <c r="AT9" s="289"/>
      <c r="AU9" s="287"/>
      <c r="AV9" s="288"/>
      <c r="AW9" s="289"/>
      <c r="AX9" s="287">
        <v>244323</v>
      </c>
      <c r="AY9" s="288">
        <v>18138</v>
      </c>
      <c r="AZ9" s="289">
        <v>226185</v>
      </c>
      <c r="BA9" s="287"/>
      <c r="BB9" s="288"/>
      <c r="BC9" s="289"/>
      <c r="BD9" s="291"/>
      <c r="BE9" s="288"/>
      <c r="BF9" s="312"/>
      <c r="BG9" s="23">
        <v>677870</v>
      </c>
      <c r="BH9" s="24">
        <v>84405</v>
      </c>
      <c r="BI9" s="25">
        <v>593464</v>
      </c>
      <c r="BJ9" s="1277"/>
      <c r="BK9" s="296"/>
      <c r="BL9" s="297"/>
      <c r="BM9" s="1277"/>
      <c r="BN9" s="296"/>
      <c r="BO9" s="297"/>
      <c r="BP9" s="287">
        <v>1049746</v>
      </c>
      <c r="BQ9" s="288">
        <v>110206</v>
      </c>
      <c r="BR9" s="751">
        <v>939540</v>
      </c>
      <c r="BS9" s="298">
        <f t="shared" si="0"/>
        <v>10387768</v>
      </c>
      <c r="BT9" s="288">
        <f t="shared" si="1"/>
        <v>1035245</v>
      </c>
      <c r="BU9" s="289">
        <f t="shared" si="1"/>
        <v>9352522</v>
      </c>
      <c r="BV9" s="1277">
        <v>24241396</v>
      </c>
      <c r="BW9" s="296">
        <v>6964537</v>
      </c>
      <c r="BX9" s="297">
        <v>17276859</v>
      </c>
      <c r="BY9" s="298">
        <f t="shared" si="2"/>
        <v>34629164</v>
      </c>
      <c r="BZ9" s="288">
        <f t="shared" si="3"/>
        <v>7999782</v>
      </c>
      <c r="CA9" s="289">
        <f t="shared" si="3"/>
        <v>26629381</v>
      </c>
    </row>
    <row r="10" spans="1:79" ht="16.5">
      <c r="A10" s="640" t="s">
        <v>273</v>
      </c>
      <c r="B10" s="284"/>
      <c r="C10" s="285"/>
      <c r="D10" s="286"/>
      <c r="E10" s="287"/>
      <c r="F10" s="288"/>
      <c r="G10" s="289"/>
      <c r="H10" s="287">
        <v>277417</v>
      </c>
      <c r="I10" s="288">
        <v>266122</v>
      </c>
      <c r="J10" s="289">
        <v>11295</v>
      </c>
      <c r="K10" s="287"/>
      <c r="L10" s="288"/>
      <c r="M10" s="294"/>
      <c r="N10" s="287">
        <v>133037</v>
      </c>
      <c r="O10" s="288">
        <v>113798</v>
      </c>
      <c r="P10" s="289">
        <v>19239</v>
      </c>
      <c r="Q10" s="287"/>
      <c r="R10" s="288"/>
      <c r="S10" s="289"/>
      <c r="T10" s="298"/>
      <c r="U10" s="288"/>
      <c r="V10" s="289"/>
      <c r="W10" s="287">
        <v>150061</v>
      </c>
      <c r="X10" s="288">
        <v>79079</v>
      </c>
      <c r="Y10" s="289">
        <v>70982</v>
      </c>
      <c r="Z10" s="287"/>
      <c r="AA10" s="288"/>
      <c r="AB10" s="289"/>
      <c r="AC10" s="287"/>
      <c r="AD10" s="288"/>
      <c r="AE10" s="289"/>
      <c r="AF10" s="287"/>
      <c r="AG10" s="288"/>
      <c r="AH10" s="289"/>
      <c r="AI10" s="287"/>
      <c r="AJ10" s="288"/>
      <c r="AK10" s="289"/>
      <c r="AL10" s="287">
        <v>23570</v>
      </c>
      <c r="AM10" s="288">
        <v>20744</v>
      </c>
      <c r="AN10" s="1276">
        <v>2826</v>
      </c>
      <c r="AO10" s="287">
        <v>177375</v>
      </c>
      <c r="AP10" s="288">
        <v>151269</v>
      </c>
      <c r="AQ10" s="289">
        <v>26106</v>
      </c>
      <c r="AR10" s="287"/>
      <c r="AS10" s="288"/>
      <c r="AT10" s="289"/>
      <c r="AU10" s="287"/>
      <c r="AV10" s="288"/>
      <c r="AW10" s="289"/>
      <c r="AX10" s="287"/>
      <c r="AY10" s="288"/>
      <c r="AZ10" s="289"/>
      <c r="BA10" s="287"/>
      <c r="BB10" s="288"/>
      <c r="BC10" s="289"/>
      <c r="BD10" s="291"/>
      <c r="BE10" s="288"/>
      <c r="BF10" s="312"/>
      <c r="BG10" s="23">
        <v>1427317</v>
      </c>
      <c r="BH10" s="24">
        <v>58381</v>
      </c>
      <c r="BI10" s="25">
        <v>1368936</v>
      </c>
      <c r="BJ10" s="1277">
        <v>134370</v>
      </c>
      <c r="BK10" s="296">
        <v>13568</v>
      </c>
      <c r="BL10" s="297">
        <v>120802</v>
      </c>
      <c r="BM10" s="1277"/>
      <c r="BN10" s="296"/>
      <c r="BO10" s="297"/>
      <c r="BP10" s="287"/>
      <c r="BQ10" s="288"/>
      <c r="BR10" s="751"/>
      <c r="BS10" s="298">
        <f t="shared" si="0"/>
        <v>2323147</v>
      </c>
      <c r="BT10" s="288">
        <f t="shared" si="1"/>
        <v>702961</v>
      </c>
      <c r="BU10" s="289">
        <f t="shared" si="1"/>
        <v>1620186</v>
      </c>
      <c r="BV10" s="1277"/>
      <c r="BW10" s="296"/>
      <c r="BX10" s="297"/>
      <c r="BY10" s="298">
        <f t="shared" si="2"/>
        <v>2323147</v>
      </c>
      <c r="BZ10" s="288">
        <f t="shared" si="3"/>
        <v>702961</v>
      </c>
      <c r="CA10" s="289">
        <f t="shared" si="3"/>
        <v>1620186</v>
      </c>
    </row>
    <row r="11" spans="1:79" ht="16.5">
      <c r="A11" s="640" t="s">
        <v>274</v>
      </c>
      <c r="B11" s="284">
        <v>177868</v>
      </c>
      <c r="C11" s="285">
        <v>129449</v>
      </c>
      <c r="D11" s="286">
        <v>31059</v>
      </c>
      <c r="E11" s="287">
        <v>19673</v>
      </c>
      <c r="F11" s="288">
        <v>8357</v>
      </c>
      <c r="G11" s="289">
        <v>11316</v>
      </c>
      <c r="H11" s="287">
        <v>136453</v>
      </c>
      <c r="I11" s="288">
        <v>135190</v>
      </c>
      <c r="J11" s="289">
        <v>1263</v>
      </c>
      <c r="K11" s="310">
        <v>286985</v>
      </c>
      <c r="L11" s="288">
        <v>203499</v>
      </c>
      <c r="M11" s="294">
        <v>83486</v>
      </c>
      <c r="N11" s="287">
        <v>52322</v>
      </c>
      <c r="O11" s="288">
        <v>43507</v>
      </c>
      <c r="P11" s="289">
        <v>8815</v>
      </c>
      <c r="Q11" s="287">
        <v>26539</v>
      </c>
      <c r="R11" s="288">
        <v>23363</v>
      </c>
      <c r="S11" s="289">
        <v>3176</v>
      </c>
      <c r="T11" s="298">
        <v>40376</v>
      </c>
      <c r="U11" s="288">
        <v>26472</v>
      </c>
      <c r="V11" s="289">
        <v>8079</v>
      </c>
      <c r="W11" s="287">
        <v>97232</v>
      </c>
      <c r="X11" s="288">
        <v>46848</v>
      </c>
      <c r="Y11" s="289">
        <v>50384</v>
      </c>
      <c r="Z11" s="287">
        <v>119099</v>
      </c>
      <c r="AA11" s="288">
        <v>96902</v>
      </c>
      <c r="AB11" s="289">
        <v>22197</v>
      </c>
      <c r="AC11" s="287">
        <v>55826</v>
      </c>
      <c r="AD11" s="288">
        <v>36700</v>
      </c>
      <c r="AE11" s="289">
        <v>19126</v>
      </c>
      <c r="AF11" s="287">
        <v>696015</v>
      </c>
      <c r="AG11" s="288">
        <v>645172</v>
      </c>
      <c r="AH11" s="289">
        <v>50843</v>
      </c>
      <c r="AI11" s="287">
        <v>339210</v>
      </c>
      <c r="AJ11" s="288">
        <v>241535</v>
      </c>
      <c r="AK11" s="289">
        <v>97675</v>
      </c>
      <c r="AL11" s="1275">
        <v>95851</v>
      </c>
      <c r="AM11" s="290">
        <v>73100</v>
      </c>
      <c r="AN11" s="1276">
        <v>22751</v>
      </c>
      <c r="AO11" s="287">
        <v>23075</v>
      </c>
      <c r="AP11" s="288">
        <v>21811</v>
      </c>
      <c r="AQ11" s="289">
        <v>1264</v>
      </c>
      <c r="AR11" s="857">
        <v>549223</v>
      </c>
      <c r="AS11" s="858">
        <v>386042</v>
      </c>
      <c r="AT11" s="289">
        <v>163181</v>
      </c>
      <c r="AU11" s="287">
        <v>372714</v>
      </c>
      <c r="AV11" s="288">
        <v>294655</v>
      </c>
      <c r="AW11" s="289">
        <v>78059</v>
      </c>
      <c r="AX11" s="287">
        <v>73298</v>
      </c>
      <c r="AY11" s="288">
        <v>51016</v>
      </c>
      <c r="AZ11" s="289">
        <v>22282</v>
      </c>
      <c r="BA11" s="287">
        <v>125847</v>
      </c>
      <c r="BB11" s="288">
        <v>121869</v>
      </c>
      <c r="BC11" s="289">
        <v>3978</v>
      </c>
      <c r="BD11" s="291"/>
      <c r="BE11" s="288"/>
      <c r="BF11" s="312"/>
      <c r="BG11" s="23">
        <v>891192</v>
      </c>
      <c r="BH11" s="24">
        <v>523863</v>
      </c>
      <c r="BI11" s="25">
        <v>367329</v>
      </c>
      <c r="BJ11" s="1277">
        <v>231502</v>
      </c>
      <c r="BK11" s="296">
        <v>99072</v>
      </c>
      <c r="BL11" s="297">
        <v>132430</v>
      </c>
      <c r="BM11" s="1277">
        <v>35360</v>
      </c>
      <c r="BN11" s="296">
        <v>23919</v>
      </c>
      <c r="BO11" s="297">
        <v>11441</v>
      </c>
      <c r="BP11" s="287">
        <v>247965</v>
      </c>
      <c r="BQ11" s="288">
        <v>206747</v>
      </c>
      <c r="BR11" s="751">
        <v>41218</v>
      </c>
      <c r="BS11" s="298">
        <f t="shared" si="0"/>
        <v>4693625</v>
      </c>
      <c r="BT11" s="288">
        <f t="shared" si="1"/>
        <v>3439088</v>
      </c>
      <c r="BU11" s="289">
        <f t="shared" si="1"/>
        <v>1231352</v>
      </c>
      <c r="BV11" s="287">
        <v>4478891</v>
      </c>
      <c r="BW11" s="288">
        <v>3390072</v>
      </c>
      <c r="BX11" s="297">
        <v>1088819</v>
      </c>
      <c r="BY11" s="298">
        <f t="shared" si="2"/>
        <v>9172516</v>
      </c>
      <c r="BZ11" s="288">
        <f t="shared" si="3"/>
        <v>6829160</v>
      </c>
      <c r="CA11" s="289">
        <f t="shared" si="3"/>
        <v>2320171</v>
      </c>
    </row>
    <row r="12" spans="1:79" ht="16.5">
      <c r="A12" s="640" t="s">
        <v>275</v>
      </c>
      <c r="B12" s="284">
        <v>837900</v>
      </c>
      <c r="C12" s="285">
        <v>692474</v>
      </c>
      <c r="D12" s="286">
        <v>124398</v>
      </c>
      <c r="E12" s="287">
        <v>93149</v>
      </c>
      <c r="F12" s="288">
        <v>79254</v>
      </c>
      <c r="G12" s="289">
        <v>13895</v>
      </c>
      <c r="H12" s="287">
        <v>451159</v>
      </c>
      <c r="I12" s="288">
        <v>418757</v>
      </c>
      <c r="J12" s="289">
        <v>32401</v>
      </c>
      <c r="K12" s="287">
        <v>663464</v>
      </c>
      <c r="L12" s="288">
        <v>517175</v>
      </c>
      <c r="M12" s="294">
        <v>146289</v>
      </c>
      <c r="N12" s="287">
        <v>313089</v>
      </c>
      <c r="O12" s="288">
        <v>213593</v>
      </c>
      <c r="P12" s="289">
        <v>99496</v>
      </c>
      <c r="Q12" s="287">
        <v>384561</v>
      </c>
      <c r="R12" s="288">
        <v>338804</v>
      </c>
      <c r="S12" s="289">
        <v>45757</v>
      </c>
      <c r="T12" s="298">
        <v>273251</v>
      </c>
      <c r="U12" s="288">
        <v>174497</v>
      </c>
      <c r="V12" s="289">
        <v>119896</v>
      </c>
      <c r="W12" s="287">
        <v>299430</v>
      </c>
      <c r="X12" s="288">
        <v>214137</v>
      </c>
      <c r="Y12" s="289">
        <v>85293</v>
      </c>
      <c r="Z12" s="287">
        <v>357374</v>
      </c>
      <c r="AA12" s="288">
        <v>249452</v>
      </c>
      <c r="AB12" s="289">
        <v>107923</v>
      </c>
      <c r="AC12" s="287">
        <v>356045</v>
      </c>
      <c r="AD12" s="288">
        <v>146786</v>
      </c>
      <c r="AE12" s="289">
        <v>209259</v>
      </c>
      <c r="AF12" s="287">
        <v>962105</v>
      </c>
      <c r="AG12" s="288">
        <v>857823</v>
      </c>
      <c r="AH12" s="289">
        <v>104282</v>
      </c>
      <c r="AI12" s="287">
        <v>467535</v>
      </c>
      <c r="AJ12" s="288">
        <v>380895</v>
      </c>
      <c r="AK12" s="289">
        <v>86640</v>
      </c>
      <c r="AL12" s="1275">
        <v>100834</v>
      </c>
      <c r="AM12" s="290">
        <v>85443</v>
      </c>
      <c r="AN12" s="1276">
        <v>15391</v>
      </c>
      <c r="AO12" s="287">
        <v>379133</v>
      </c>
      <c r="AP12" s="288">
        <v>288326</v>
      </c>
      <c r="AQ12" s="289">
        <v>90807</v>
      </c>
      <c r="AR12" s="857">
        <v>709410</v>
      </c>
      <c r="AS12" s="858">
        <v>499446</v>
      </c>
      <c r="AT12" s="289">
        <v>209964</v>
      </c>
      <c r="AU12" s="287">
        <v>1302860</v>
      </c>
      <c r="AV12" s="288">
        <v>1096657</v>
      </c>
      <c r="AW12" s="289">
        <v>206203</v>
      </c>
      <c r="AX12" s="287">
        <f>557031+195708</f>
        <v>752739</v>
      </c>
      <c r="AY12" s="288">
        <f>455975+130472</f>
        <v>586447</v>
      </c>
      <c r="AZ12" s="289">
        <f>101056+65236</f>
        <v>166292</v>
      </c>
      <c r="BA12" s="287">
        <v>549388</v>
      </c>
      <c r="BB12" s="288">
        <v>461663</v>
      </c>
      <c r="BC12" s="289">
        <v>87725</v>
      </c>
      <c r="BD12" s="291"/>
      <c r="BE12" s="288"/>
      <c r="BF12" s="312"/>
      <c r="BG12" s="23">
        <v>1380757</v>
      </c>
      <c r="BH12" s="24">
        <v>1256805</v>
      </c>
      <c r="BI12" s="25">
        <v>123953</v>
      </c>
      <c r="BJ12" s="1277">
        <v>204279</v>
      </c>
      <c r="BK12" s="296">
        <v>158191</v>
      </c>
      <c r="BL12" s="297">
        <v>46088</v>
      </c>
      <c r="BM12" s="1277">
        <v>134107</v>
      </c>
      <c r="BN12" s="296">
        <v>107684</v>
      </c>
      <c r="BO12" s="297">
        <v>26423</v>
      </c>
      <c r="BP12" s="287">
        <v>1163865</v>
      </c>
      <c r="BQ12" s="288">
        <v>844279</v>
      </c>
      <c r="BR12" s="751">
        <v>319586</v>
      </c>
      <c r="BS12" s="298">
        <f t="shared" si="0"/>
        <v>12136434</v>
      </c>
      <c r="BT12" s="288">
        <f t="shared" si="1"/>
        <v>9668588</v>
      </c>
      <c r="BU12" s="289">
        <f t="shared" si="1"/>
        <v>2467961</v>
      </c>
      <c r="BV12" s="287">
        <v>12268411</v>
      </c>
      <c r="BW12" s="288">
        <v>9985953</v>
      </c>
      <c r="BX12" s="297">
        <v>2282458</v>
      </c>
      <c r="BY12" s="298">
        <f t="shared" si="2"/>
        <v>24404845</v>
      </c>
      <c r="BZ12" s="288">
        <f t="shared" si="3"/>
        <v>19654541</v>
      </c>
      <c r="CA12" s="289">
        <f t="shared" si="3"/>
        <v>4750419</v>
      </c>
    </row>
    <row r="13" spans="1:79" ht="16.5">
      <c r="A13" s="640" t="s">
        <v>276</v>
      </c>
      <c r="B13" s="284">
        <v>78674</v>
      </c>
      <c r="C13" s="285">
        <v>26128</v>
      </c>
      <c r="D13" s="286">
        <v>43047</v>
      </c>
      <c r="E13" s="287">
        <v>275</v>
      </c>
      <c r="F13" s="288">
        <v>275</v>
      </c>
      <c r="G13" s="289"/>
      <c r="H13" s="287">
        <v>2782</v>
      </c>
      <c r="I13" s="288">
        <v>2457</v>
      </c>
      <c r="J13" s="289">
        <v>325</v>
      </c>
      <c r="K13" s="287">
        <v>36951</v>
      </c>
      <c r="L13" s="288">
        <v>22883</v>
      </c>
      <c r="M13" s="294">
        <v>14068</v>
      </c>
      <c r="N13" s="287"/>
      <c r="O13" s="288"/>
      <c r="P13" s="289"/>
      <c r="Q13" s="287">
        <v>5940</v>
      </c>
      <c r="R13" s="288">
        <v>1051</v>
      </c>
      <c r="S13" s="289">
        <v>4889</v>
      </c>
      <c r="T13" s="298"/>
      <c r="U13" s="288"/>
      <c r="V13" s="289"/>
      <c r="W13" s="287">
        <v>10540</v>
      </c>
      <c r="X13" s="288">
        <v>8016</v>
      </c>
      <c r="Y13" s="289">
        <v>2523</v>
      </c>
      <c r="Z13" s="287">
        <v>16304</v>
      </c>
      <c r="AA13" s="288">
        <v>16192</v>
      </c>
      <c r="AB13" s="289">
        <v>112</v>
      </c>
      <c r="AC13" s="287">
        <v>8005</v>
      </c>
      <c r="AD13" s="288">
        <v>5551</v>
      </c>
      <c r="AE13" s="289">
        <v>2454</v>
      </c>
      <c r="AF13" s="287">
        <v>167354</v>
      </c>
      <c r="AG13" s="288">
        <v>82310</v>
      </c>
      <c r="AH13" s="289">
        <v>85044</v>
      </c>
      <c r="AI13" s="287">
        <v>86670</v>
      </c>
      <c r="AJ13" s="288">
        <v>30172</v>
      </c>
      <c r="AK13" s="289">
        <v>56498</v>
      </c>
      <c r="AL13" s="1275">
        <v>32579</v>
      </c>
      <c r="AM13" s="290">
        <v>10945</v>
      </c>
      <c r="AN13" s="1276">
        <v>21634</v>
      </c>
      <c r="AO13" s="287">
        <v>29547</v>
      </c>
      <c r="AP13" s="288">
        <v>3925</v>
      </c>
      <c r="AQ13" s="289">
        <v>25622</v>
      </c>
      <c r="AR13" s="287">
        <v>111125</v>
      </c>
      <c r="AS13" s="288">
        <v>58198</v>
      </c>
      <c r="AT13" s="289">
        <v>52927</v>
      </c>
      <c r="AU13" s="287">
        <v>25801</v>
      </c>
      <c r="AV13" s="288">
        <v>20724</v>
      </c>
      <c r="AW13" s="289">
        <v>5077</v>
      </c>
      <c r="AX13" s="287"/>
      <c r="AY13" s="288"/>
      <c r="AZ13" s="289"/>
      <c r="BA13" s="287"/>
      <c r="BB13" s="288"/>
      <c r="BC13" s="289"/>
      <c r="BD13" s="291"/>
      <c r="BE13" s="288"/>
      <c r="BF13" s="312"/>
      <c r="BG13" s="23">
        <v>2107</v>
      </c>
      <c r="BH13" s="24">
        <v>198</v>
      </c>
      <c r="BI13" s="25">
        <v>1910</v>
      </c>
      <c r="BJ13" s="1277">
        <v>6929</v>
      </c>
      <c r="BK13" s="296">
        <v>5371</v>
      </c>
      <c r="BL13" s="297">
        <v>1558</v>
      </c>
      <c r="BM13" s="1277">
        <v>24009</v>
      </c>
      <c r="BN13" s="296">
        <v>8378</v>
      </c>
      <c r="BO13" s="297">
        <v>15631</v>
      </c>
      <c r="BP13" s="287">
        <v>8488</v>
      </c>
      <c r="BQ13" s="288">
        <v>1814</v>
      </c>
      <c r="BR13" s="751">
        <v>6674</v>
      </c>
      <c r="BS13" s="298">
        <f t="shared" si="0"/>
        <v>654080</v>
      </c>
      <c r="BT13" s="288">
        <f t="shared" si="1"/>
        <v>304588</v>
      </c>
      <c r="BU13" s="289">
        <f t="shared" si="1"/>
        <v>339993</v>
      </c>
      <c r="BV13" s="287">
        <v>8052578</v>
      </c>
      <c r="BW13" s="288">
        <v>5046162</v>
      </c>
      <c r="BX13" s="297">
        <v>3006416</v>
      </c>
      <c r="BY13" s="298">
        <f t="shared" si="2"/>
        <v>8706658</v>
      </c>
      <c r="BZ13" s="288">
        <f t="shared" si="3"/>
        <v>5350750</v>
      </c>
      <c r="CA13" s="289">
        <f t="shared" si="3"/>
        <v>3346409</v>
      </c>
    </row>
    <row r="14" spans="1:79" ht="16.5">
      <c r="A14" s="640" t="s">
        <v>277</v>
      </c>
      <c r="B14" s="284">
        <v>215539</v>
      </c>
      <c r="C14" s="285">
        <v>176481</v>
      </c>
      <c r="D14" s="286">
        <v>44845</v>
      </c>
      <c r="E14" s="287">
        <v>18714</v>
      </c>
      <c r="F14" s="288">
        <v>11128</v>
      </c>
      <c r="G14" s="289">
        <v>7586</v>
      </c>
      <c r="H14" s="287">
        <v>67395</v>
      </c>
      <c r="I14" s="288">
        <v>66744</v>
      </c>
      <c r="J14" s="289">
        <v>651</v>
      </c>
      <c r="K14" s="287">
        <v>148405</v>
      </c>
      <c r="L14" s="288">
        <v>120973</v>
      </c>
      <c r="M14" s="294">
        <v>27432</v>
      </c>
      <c r="N14" s="287">
        <v>96022</v>
      </c>
      <c r="O14" s="288">
        <v>51085</v>
      </c>
      <c r="P14" s="289">
        <v>44937</v>
      </c>
      <c r="Q14" s="287">
        <v>18991</v>
      </c>
      <c r="R14" s="288">
        <v>16159</v>
      </c>
      <c r="S14" s="289">
        <v>2832</v>
      </c>
      <c r="T14" s="298">
        <v>58947</v>
      </c>
      <c r="U14" s="288">
        <v>34042</v>
      </c>
      <c r="V14" s="289">
        <v>14689</v>
      </c>
      <c r="W14" s="287">
        <v>89250</v>
      </c>
      <c r="X14" s="288">
        <v>72510</v>
      </c>
      <c r="Y14" s="289">
        <v>16740</v>
      </c>
      <c r="Z14" s="287">
        <v>215303</v>
      </c>
      <c r="AA14" s="288">
        <v>174406</v>
      </c>
      <c r="AB14" s="289">
        <v>40897</v>
      </c>
      <c r="AC14" s="287">
        <v>88782</v>
      </c>
      <c r="AD14" s="288">
        <v>49503</v>
      </c>
      <c r="AE14" s="289">
        <v>39279</v>
      </c>
      <c r="AF14" s="287">
        <v>615817</v>
      </c>
      <c r="AG14" s="288">
        <v>522631</v>
      </c>
      <c r="AH14" s="289">
        <v>93186</v>
      </c>
      <c r="AI14" s="287">
        <v>500009</v>
      </c>
      <c r="AJ14" s="288">
        <v>357812</v>
      </c>
      <c r="AK14" s="289">
        <v>142197</v>
      </c>
      <c r="AL14" s="1275">
        <v>91048</v>
      </c>
      <c r="AM14" s="290">
        <v>57836</v>
      </c>
      <c r="AN14" s="1276">
        <v>33212</v>
      </c>
      <c r="AO14" s="287">
        <v>62520</v>
      </c>
      <c r="AP14" s="288">
        <v>57939</v>
      </c>
      <c r="AQ14" s="289">
        <v>4581</v>
      </c>
      <c r="AR14" s="287">
        <v>188063</v>
      </c>
      <c r="AS14" s="288">
        <v>132189</v>
      </c>
      <c r="AT14" s="289">
        <v>55874</v>
      </c>
      <c r="AU14" s="287">
        <v>535564</v>
      </c>
      <c r="AV14" s="288">
        <v>421361</v>
      </c>
      <c r="AW14" s="289">
        <v>114203</v>
      </c>
      <c r="AX14" s="287">
        <v>110081</v>
      </c>
      <c r="AY14" s="288">
        <v>83281</v>
      </c>
      <c r="AZ14" s="289">
        <v>26800</v>
      </c>
      <c r="BA14" s="287">
        <v>199715</v>
      </c>
      <c r="BB14" s="288">
        <v>171241</v>
      </c>
      <c r="BC14" s="289">
        <v>28474</v>
      </c>
      <c r="BD14" s="291"/>
      <c r="BE14" s="288"/>
      <c r="BF14" s="312"/>
      <c r="BG14" s="23">
        <v>604619</v>
      </c>
      <c r="BH14" s="24">
        <v>346208</v>
      </c>
      <c r="BI14" s="25">
        <v>258410</v>
      </c>
      <c r="BJ14" s="1277">
        <v>47631</v>
      </c>
      <c r="BK14" s="296">
        <v>17022</v>
      </c>
      <c r="BL14" s="297">
        <v>30609</v>
      </c>
      <c r="BM14" s="1277">
        <v>38984</v>
      </c>
      <c r="BN14" s="296">
        <v>25164</v>
      </c>
      <c r="BO14" s="297">
        <v>13820</v>
      </c>
      <c r="BP14" s="287">
        <v>295595</v>
      </c>
      <c r="BQ14" s="288">
        <v>219364</v>
      </c>
      <c r="BR14" s="751">
        <v>76231</v>
      </c>
      <c r="BS14" s="298">
        <f t="shared" si="0"/>
        <v>4306994</v>
      </c>
      <c r="BT14" s="288">
        <f t="shared" si="1"/>
        <v>3185079</v>
      </c>
      <c r="BU14" s="289">
        <f t="shared" si="1"/>
        <v>1117485</v>
      </c>
      <c r="BV14" s="287">
        <v>668810</v>
      </c>
      <c r="BW14" s="288">
        <v>561939</v>
      </c>
      <c r="BX14" s="297">
        <v>106871</v>
      </c>
      <c r="BY14" s="298">
        <f t="shared" si="2"/>
        <v>4975804</v>
      </c>
      <c r="BZ14" s="288">
        <f t="shared" si="3"/>
        <v>3747018</v>
      </c>
      <c r="CA14" s="289">
        <f t="shared" si="3"/>
        <v>1224356</v>
      </c>
    </row>
    <row r="15" spans="1:79" ht="16.5">
      <c r="A15" s="640" t="s">
        <v>278</v>
      </c>
      <c r="B15" s="284"/>
      <c r="C15" s="285"/>
      <c r="D15" s="286"/>
      <c r="E15" s="287"/>
      <c r="F15" s="288"/>
      <c r="G15" s="289"/>
      <c r="H15" s="287"/>
      <c r="I15" s="288"/>
      <c r="J15" s="289"/>
      <c r="K15" s="287"/>
      <c r="L15" s="288"/>
      <c r="M15" s="294"/>
      <c r="N15" s="287"/>
      <c r="O15" s="288"/>
      <c r="P15" s="289"/>
      <c r="Q15" s="287"/>
      <c r="R15" s="288"/>
      <c r="S15" s="289"/>
      <c r="T15" s="298"/>
      <c r="U15" s="288"/>
      <c r="V15" s="289"/>
      <c r="W15" s="287"/>
      <c r="X15" s="288"/>
      <c r="Y15" s="289"/>
      <c r="Z15" s="287"/>
      <c r="AA15" s="288"/>
      <c r="AB15" s="289"/>
      <c r="AC15" s="287"/>
      <c r="AD15" s="288"/>
      <c r="AE15" s="289"/>
      <c r="AF15" s="287"/>
      <c r="AG15" s="288"/>
      <c r="AH15" s="289"/>
      <c r="AI15" s="287"/>
      <c r="AJ15" s="288"/>
      <c r="AK15" s="289"/>
      <c r="AL15" s="1275"/>
      <c r="AM15" s="290"/>
      <c r="AN15" s="1276"/>
      <c r="AO15" s="287"/>
      <c r="AP15" s="288"/>
      <c r="AQ15" s="289"/>
      <c r="AR15" s="287"/>
      <c r="AS15" s="288"/>
      <c r="AT15" s="289"/>
      <c r="AU15" s="287"/>
      <c r="AV15" s="288"/>
      <c r="AW15" s="289"/>
      <c r="AX15" s="287"/>
      <c r="AY15" s="288"/>
      <c r="AZ15" s="289"/>
      <c r="BA15" s="287"/>
      <c r="BB15" s="288"/>
      <c r="BC15" s="289"/>
      <c r="BD15" s="291"/>
      <c r="BE15" s="288"/>
      <c r="BF15" s="312"/>
      <c r="BG15" s="23">
        <v>843218</v>
      </c>
      <c r="BH15" s="24">
        <v>240635</v>
      </c>
      <c r="BI15" s="25">
        <v>602584</v>
      </c>
      <c r="BJ15" s="1277"/>
      <c r="BK15" s="296"/>
      <c r="BL15" s="297"/>
      <c r="BM15" s="1277">
        <v>70542</v>
      </c>
      <c r="BN15" s="296">
        <v>62758</v>
      </c>
      <c r="BO15" s="297">
        <v>7784</v>
      </c>
      <c r="BP15" s="287"/>
      <c r="BQ15" s="288"/>
      <c r="BR15" s="751"/>
      <c r="BS15" s="298">
        <f t="shared" si="0"/>
        <v>913760</v>
      </c>
      <c r="BT15" s="288">
        <f t="shared" si="1"/>
        <v>303393</v>
      </c>
      <c r="BU15" s="289">
        <f t="shared" si="1"/>
        <v>610368</v>
      </c>
      <c r="BV15" s="287"/>
      <c r="BW15" s="288"/>
      <c r="BX15" s="297"/>
      <c r="BY15" s="298">
        <f t="shared" si="2"/>
        <v>913760</v>
      </c>
      <c r="BZ15" s="288">
        <f t="shared" si="3"/>
        <v>303393</v>
      </c>
      <c r="CA15" s="289">
        <f t="shared" si="3"/>
        <v>610368</v>
      </c>
    </row>
    <row r="16" spans="1:79" ht="16.5">
      <c r="A16" s="640" t="s">
        <v>279</v>
      </c>
      <c r="B16" s="284"/>
      <c r="C16" s="285"/>
      <c r="D16" s="286"/>
      <c r="E16" s="287"/>
      <c r="F16" s="288"/>
      <c r="G16" s="289"/>
      <c r="H16" s="287"/>
      <c r="I16" s="288"/>
      <c r="J16" s="289"/>
      <c r="K16" s="287">
        <v>260990</v>
      </c>
      <c r="L16" s="288">
        <v>91052</v>
      </c>
      <c r="M16" s="294">
        <v>169938</v>
      </c>
      <c r="N16" s="287"/>
      <c r="O16" s="288"/>
      <c r="P16" s="289"/>
      <c r="Q16" s="287"/>
      <c r="R16" s="288"/>
      <c r="S16" s="289"/>
      <c r="T16" s="298"/>
      <c r="U16" s="288"/>
      <c r="V16" s="289"/>
      <c r="W16" s="287"/>
      <c r="X16" s="288"/>
      <c r="Y16" s="289"/>
      <c r="Z16" s="287"/>
      <c r="AA16" s="288"/>
      <c r="AB16" s="289"/>
      <c r="AC16" s="287"/>
      <c r="AD16" s="288"/>
      <c r="AE16" s="289"/>
      <c r="AF16" s="287"/>
      <c r="AG16" s="288"/>
      <c r="AH16" s="289"/>
      <c r="AI16" s="287">
        <v>1147516</v>
      </c>
      <c r="AJ16" s="288">
        <v>362133</v>
      </c>
      <c r="AK16" s="289">
        <v>785383</v>
      </c>
      <c r="AL16" s="1275">
        <v>109048</v>
      </c>
      <c r="AM16" s="290">
        <v>70730</v>
      </c>
      <c r="AN16" s="1276">
        <v>38318</v>
      </c>
      <c r="AO16" s="287"/>
      <c r="AP16" s="288"/>
      <c r="AQ16" s="289"/>
      <c r="AR16" s="857"/>
      <c r="AS16" s="858"/>
      <c r="AT16" s="1535"/>
      <c r="AU16" s="287"/>
      <c r="AV16" s="288"/>
      <c r="AW16" s="289"/>
      <c r="AX16" s="287"/>
      <c r="AY16" s="288"/>
      <c r="AZ16" s="289"/>
      <c r="BA16" s="287"/>
      <c r="BB16" s="288"/>
      <c r="BC16" s="289"/>
      <c r="BD16" s="291"/>
      <c r="BE16" s="288"/>
      <c r="BF16" s="312"/>
      <c r="BG16" s="23">
        <v>384811</v>
      </c>
      <c r="BH16" s="24">
        <v>240291</v>
      </c>
      <c r="BI16" s="25">
        <v>144520</v>
      </c>
      <c r="BJ16" s="1277"/>
      <c r="BK16" s="296"/>
      <c r="BL16" s="297"/>
      <c r="BM16" s="1277">
        <v>282652</v>
      </c>
      <c r="BN16" s="296">
        <v>261259</v>
      </c>
      <c r="BO16" s="297">
        <v>21393</v>
      </c>
      <c r="BP16" s="287"/>
      <c r="BQ16" s="288"/>
      <c r="BR16" s="751"/>
      <c r="BS16" s="298">
        <f t="shared" si="0"/>
        <v>2185017</v>
      </c>
      <c r="BT16" s="288">
        <f t="shared" si="1"/>
        <v>1025465</v>
      </c>
      <c r="BU16" s="289">
        <f t="shared" si="1"/>
        <v>1159552</v>
      </c>
      <c r="BV16" s="287"/>
      <c r="BW16" s="288"/>
      <c r="BX16" s="297"/>
      <c r="BY16" s="298">
        <f t="shared" si="2"/>
        <v>2185017</v>
      </c>
      <c r="BZ16" s="288">
        <f t="shared" si="3"/>
        <v>1025465</v>
      </c>
      <c r="CA16" s="289">
        <f t="shared" si="3"/>
        <v>1159552</v>
      </c>
    </row>
    <row r="17" spans="1:79" ht="16.5">
      <c r="A17" s="640" t="s">
        <v>280</v>
      </c>
      <c r="B17" s="284"/>
      <c r="C17" s="285"/>
      <c r="D17" s="286"/>
      <c r="E17" s="287"/>
      <c r="F17" s="288"/>
      <c r="G17" s="289"/>
      <c r="H17" s="287"/>
      <c r="I17" s="288"/>
      <c r="J17" s="289"/>
      <c r="K17" s="287">
        <v>26893</v>
      </c>
      <c r="L17" s="288">
        <v>21421</v>
      </c>
      <c r="M17" s="294">
        <v>5472</v>
      </c>
      <c r="N17" s="287"/>
      <c r="O17" s="288"/>
      <c r="P17" s="289"/>
      <c r="Q17" s="287"/>
      <c r="R17" s="288"/>
      <c r="S17" s="289"/>
      <c r="T17" s="298"/>
      <c r="U17" s="288"/>
      <c r="V17" s="289"/>
      <c r="W17" s="287"/>
      <c r="X17" s="288"/>
      <c r="Y17" s="289"/>
      <c r="Z17" s="287"/>
      <c r="AA17" s="288"/>
      <c r="AB17" s="289"/>
      <c r="AC17" s="287"/>
      <c r="AD17" s="288"/>
      <c r="AE17" s="289"/>
      <c r="AF17" s="287"/>
      <c r="AG17" s="288"/>
      <c r="AH17" s="289"/>
      <c r="AI17" s="287"/>
      <c r="AJ17" s="288"/>
      <c r="AK17" s="289"/>
      <c r="AL17" s="1275">
        <v>15293</v>
      </c>
      <c r="AM17" s="290">
        <v>3609</v>
      </c>
      <c r="AN17" s="1276">
        <v>11684</v>
      </c>
      <c r="AO17" s="287"/>
      <c r="AP17" s="288"/>
      <c r="AQ17" s="289"/>
      <c r="AR17" s="857"/>
      <c r="AS17" s="858"/>
      <c r="AT17" s="1535"/>
      <c r="AU17" s="287"/>
      <c r="AV17" s="288"/>
      <c r="AW17" s="289"/>
      <c r="AX17" s="287"/>
      <c r="AY17" s="288"/>
      <c r="AZ17" s="289"/>
      <c r="BA17" s="287"/>
      <c r="BB17" s="288"/>
      <c r="BC17" s="289"/>
      <c r="BD17" s="291"/>
      <c r="BE17" s="288"/>
      <c r="BF17" s="312"/>
      <c r="BG17" s="23"/>
      <c r="BH17" s="24"/>
      <c r="BI17" s="25"/>
      <c r="BJ17" s="1277">
        <v>72959</v>
      </c>
      <c r="BK17" s="296">
        <v>28747</v>
      </c>
      <c r="BL17" s="297">
        <v>44212</v>
      </c>
      <c r="BM17" s="1277"/>
      <c r="BN17" s="296"/>
      <c r="BO17" s="297"/>
      <c r="BP17" s="287"/>
      <c r="BQ17" s="288"/>
      <c r="BR17" s="751"/>
      <c r="BS17" s="298">
        <f t="shared" si="0"/>
        <v>115145</v>
      </c>
      <c r="BT17" s="288">
        <f t="shared" si="1"/>
        <v>53777</v>
      </c>
      <c r="BU17" s="289">
        <f t="shared" si="1"/>
        <v>61368</v>
      </c>
      <c r="BV17" s="287"/>
      <c r="BW17" s="288"/>
      <c r="BX17" s="297"/>
      <c r="BY17" s="298">
        <f t="shared" si="2"/>
        <v>115145</v>
      </c>
      <c r="BZ17" s="288">
        <f t="shared" si="3"/>
        <v>53777</v>
      </c>
      <c r="CA17" s="289">
        <f t="shared" si="3"/>
        <v>61368</v>
      </c>
    </row>
    <row r="18" spans="1:79" ht="16.5">
      <c r="A18" s="640" t="s">
        <v>281</v>
      </c>
      <c r="B18" s="284"/>
      <c r="C18" s="285"/>
      <c r="D18" s="286"/>
      <c r="E18" s="287"/>
      <c r="F18" s="288"/>
      <c r="G18" s="289"/>
      <c r="H18" s="287"/>
      <c r="I18" s="288"/>
      <c r="J18" s="289"/>
      <c r="K18" s="287">
        <v>141637</v>
      </c>
      <c r="L18" s="288">
        <v>94921</v>
      </c>
      <c r="M18" s="294">
        <v>46716</v>
      </c>
      <c r="N18" s="287"/>
      <c r="O18" s="288"/>
      <c r="P18" s="289"/>
      <c r="Q18" s="287"/>
      <c r="R18" s="288"/>
      <c r="S18" s="289"/>
      <c r="T18" s="298"/>
      <c r="U18" s="288"/>
      <c r="V18" s="289"/>
      <c r="W18" s="287"/>
      <c r="X18" s="288"/>
      <c r="Y18" s="289"/>
      <c r="Z18" s="287"/>
      <c r="AA18" s="288"/>
      <c r="AB18" s="289"/>
      <c r="AC18" s="287"/>
      <c r="AD18" s="288"/>
      <c r="AE18" s="289"/>
      <c r="AF18" s="287"/>
      <c r="AG18" s="288"/>
      <c r="AH18" s="289"/>
      <c r="AI18" s="287"/>
      <c r="AJ18" s="288"/>
      <c r="AK18" s="289"/>
      <c r="AL18" s="1275"/>
      <c r="AM18" s="290"/>
      <c r="AN18" s="1276"/>
      <c r="AO18" s="287"/>
      <c r="AP18" s="288"/>
      <c r="AQ18" s="289"/>
      <c r="AR18" s="857"/>
      <c r="AS18" s="858"/>
      <c r="AT18" s="1535"/>
      <c r="AU18" s="287"/>
      <c r="AV18" s="288"/>
      <c r="AW18" s="289"/>
      <c r="AX18" s="287"/>
      <c r="AY18" s="288"/>
      <c r="AZ18" s="289"/>
      <c r="BA18" s="287"/>
      <c r="BB18" s="288"/>
      <c r="BC18" s="289"/>
      <c r="BD18" s="291"/>
      <c r="BE18" s="288"/>
      <c r="BF18" s="312"/>
      <c r="BG18" s="23"/>
      <c r="BH18" s="24"/>
      <c r="BI18" s="25"/>
      <c r="BJ18" s="1277"/>
      <c r="BK18" s="296"/>
      <c r="BL18" s="297"/>
      <c r="BM18" s="1277">
        <v>11769</v>
      </c>
      <c r="BN18" s="296">
        <v>6753</v>
      </c>
      <c r="BO18" s="297">
        <v>5016</v>
      </c>
      <c r="BP18" s="287"/>
      <c r="BQ18" s="288"/>
      <c r="BR18" s="751"/>
      <c r="BS18" s="298">
        <f t="shared" si="0"/>
        <v>153406</v>
      </c>
      <c r="BT18" s="288">
        <f t="shared" si="1"/>
        <v>101674</v>
      </c>
      <c r="BU18" s="289">
        <f t="shared" si="1"/>
        <v>51732</v>
      </c>
      <c r="BV18" s="287"/>
      <c r="BW18" s="288"/>
      <c r="BX18" s="297"/>
      <c r="BY18" s="298">
        <f t="shared" si="2"/>
        <v>153406</v>
      </c>
      <c r="BZ18" s="288">
        <f t="shared" si="3"/>
        <v>101674</v>
      </c>
      <c r="CA18" s="289">
        <f t="shared" si="3"/>
        <v>51732</v>
      </c>
    </row>
    <row r="19" spans="1:79" ht="16.5">
      <c r="A19" s="640" t="s">
        <v>282</v>
      </c>
      <c r="B19" s="284"/>
      <c r="C19" s="285"/>
      <c r="D19" s="286"/>
      <c r="E19" s="287"/>
      <c r="F19" s="288"/>
      <c r="G19" s="289"/>
      <c r="H19" s="287"/>
      <c r="I19" s="288"/>
      <c r="J19" s="289"/>
      <c r="K19" s="287">
        <v>21383</v>
      </c>
      <c r="L19" s="288">
        <v>6107</v>
      </c>
      <c r="M19" s="294">
        <v>15276</v>
      </c>
      <c r="N19" s="287"/>
      <c r="O19" s="288"/>
      <c r="P19" s="289"/>
      <c r="Q19" s="287"/>
      <c r="R19" s="288"/>
      <c r="S19" s="289"/>
      <c r="T19" s="298"/>
      <c r="U19" s="288"/>
      <c r="V19" s="289"/>
      <c r="W19" s="287"/>
      <c r="X19" s="288"/>
      <c r="Y19" s="289"/>
      <c r="Z19" s="287"/>
      <c r="AA19" s="288"/>
      <c r="AB19" s="289"/>
      <c r="AC19" s="287"/>
      <c r="AD19" s="288"/>
      <c r="AE19" s="289"/>
      <c r="AF19" s="287"/>
      <c r="AG19" s="288"/>
      <c r="AH19" s="289"/>
      <c r="AI19" s="287"/>
      <c r="AJ19" s="288"/>
      <c r="AK19" s="289"/>
      <c r="AL19" s="1275"/>
      <c r="AM19" s="290"/>
      <c r="AN19" s="1276"/>
      <c r="AO19" s="287"/>
      <c r="AP19" s="288"/>
      <c r="AQ19" s="289"/>
      <c r="AR19" s="857"/>
      <c r="AS19" s="858"/>
      <c r="AT19" s="1535"/>
      <c r="AU19" s="287"/>
      <c r="AV19" s="288"/>
      <c r="AW19" s="289"/>
      <c r="AX19" s="287"/>
      <c r="AY19" s="288"/>
      <c r="AZ19" s="289"/>
      <c r="BA19" s="287"/>
      <c r="BB19" s="288"/>
      <c r="BC19" s="289"/>
      <c r="BD19" s="291"/>
      <c r="BE19" s="288"/>
      <c r="BF19" s="312"/>
      <c r="BG19" s="23"/>
      <c r="BH19" s="24"/>
      <c r="BI19" s="25"/>
      <c r="BJ19" s="1277"/>
      <c r="BK19" s="296"/>
      <c r="BL19" s="297"/>
      <c r="BM19" s="1277"/>
      <c r="BN19" s="296"/>
      <c r="BO19" s="297"/>
      <c r="BP19" s="287"/>
      <c r="BQ19" s="288"/>
      <c r="BR19" s="751"/>
      <c r="BS19" s="298">
        <f t="shared" si="0"/>
        <v>21383</v>
      </c>
      <c r="BT19" s="288">
        <f t="shared" si="1"/>
        <v>6107</v>
      </c>
      <c r="BU19" s="289">
        <f t="shared" si="1"/>
        <v>15276</v>
      </c>
      <c r="BV19" s="287">
        <f>144791+25931+3485</f>
        <v>174207</v>
      </c>
      <c r="BW19" s="288">
        <f>123349+25539+2949</f>
        <v>151837</v>
      </c>
      <c r="BX19" s="297">
        <f>21442+392+536</f>
        <v>22370</v>
      </c>
      <c r="BY19" s="298">
        <f t="shared" si="2"/>
        <v>195590</v>
      </c>
      <c r="BZ19" s="288">
        <f t="shared" si="3"/>
        <v>157944</v>
      </c>
      <c r="CA19" s="289">
        <f t="shared" si="3"/>
        <v>37646</v>
      </c>
    </row>
    <row r="20" spans="1:79" ht="16.5">
      <c r="A20" s="640" t="s">
        <v>78</v>
      </c>
      <c r="B20" s="284">
        <v>374632</v>
      </c>
      <c r="C20" s="285">
        <v>316385</v>
      </c>
      <c r="D20" s="286">
        <v>60110</v>
      </c>
      <c r="E20" s="287"/>
      <c r="F20" s="288"/>
      <c r="G20" s="289"/>
      <c r="H20" s="287"/>
      <c r="I20" s="288"/>
      <c r="J20" s="289"/>
      <c r="K20" s="287"/>
      <c r="L20" s="288"/>
      <c r="M20" s="294"/>
      <c r="N20" s="287"/>
      <c r="O20" s="288"/>
      <c r="P20" s="289"/>
      <c r="Q20" s="287">
        <v>12722</v>
      </c>
      <c r="R20" s="288">
        <v>11888</v>
      </c>
      <c r="S20" s="289">
        <v>834</v>
      </c>
      <c r="T20" s="298"/>
      <c r="U20" s="288"/>
      <c r="V20" s="289"/>
      <c r="W20" s="287"/>
      <c r="X20" s="288"/>
      <c r="Y20" s="289"/>
      <c r="Z20" s="287"/>
      <c r="AA20" s="288"/>
      <c r="AB20" s="289"/>
      <c r="AC20" s="287"/>
      <c r="AD20" s="288"/>
      <c r="AE20" s="289"/>
      <c r="AF20" s="287"/>
      <c r="AG20" s="288"/>
      <c r="AH20" s="289"/>
      <c r="AI20" s="287"/>
      <c r="AJ20" s="288"/>
      <c r="AK20" s="289"/>
      <c r="AL20" s="1275">
        <v>4776</v>
      </c>
      <c r="AM20" s="290"/>
      <c r="AN20" s="1276">
        <v>4776</v>
      </c>
      <c r="AO20" s="287"/>
      <c r="AP20" s="288"/>
      <c r="AQ20" s="289"/>
      <c r="AR20" s="857"/>
      <c r="AS20" s="858"/>
      <c r="AT20" s="1535"/>
      <c r="AU20" s="287"/>
      <c r="AV20" s="288"/>
      <c r="AW20" s="289"/>
      <c r="AX20" s="287"/>
      <c r="AY20" s="288"/>
      <c r="AZ20" s="289"/>
      <c r="BA20" s="287"/>
      <c r="BB20" s="288"/>
      <c r="BC20" s="289"/>
      <c r="BD20" s="291"/>
      <c r="BE20" s="288"/>
      <c r="BF20" s="312"/>
      <c r="BG20" s="23"/>
      <c r="BH20" s="24"/>
      <c r="BI20" s="25"/>
      <c r="BJ20" s="1277"/>
      <c r="BK20" s="296"/>
      <c r="BL20" s="297"/>
      <c r="BM20" s="1277"/>
      <c r="BN20" s="296"/>
      <c r="BO20" s="297"/>
      <c r="BP20" s="287"/>
      <c r="BQ20" s="288"/>
      <c r="BR20" s="751"/>
      <c r="BS20" s="298">
        <f t="shared" si="0"/>
        <v>392130</v>
      </c>
      <c r="BT20" s="288">
        <f t="shared" si="1"/>
        <v>328273</v>
      </c>
      <c r="BU20" s="289">
        <f t="shared" si="1"/>
        <v>65720</v>
      </c>
      <c r="BV20" s="287">
        <f>5607+543252+707188+649+1413787+18941</f>
        <v>2689424</v>
      </c>
      <c r="BW20" s="288">
        <f>5417+364644+496530+551+1251091+17027</f>
        <v>2135260</v>
      </c>
      <c r="BX20" s="297">
        <f>190+178608+210658+98+162696+1914</f>
        <v>554164</v>
      </c>
      <c r="BY20" s="298">
        <f t="shared" si="2"/>
        <v>3081554</v>
      </c>
      <c r="BZ20" s="288">
        <f t="shared" si="3"/>
        <v>2463533</v>
      </c>
      <c r="CA20" s="289">
        <f t="shared" si="3"/>
        <v>619884</v>
      </c>
    </row>
    <row r="21" spans="1:79" ht="16.5">
      <c r="A21" s="1542" t="s">
        <v>57</v>
      </c>
      <c r="B21" s="284">
        <f>SUM(B5:B20)</f>
        <v>3745124</v>
      </c>
      <c r="C21" s="284">
        <f aca="true" t="shared" si="4" ref="C21:J21">SUM(C5:C20)</f>
        <v>2920035</v>
      </c>
      <c r="D21" s="284">
        <f t="shared" si="4"/>
        <v>696088</v>
      </c>
      <c r="E21" s="284">
        <f t="shared" si="4"/>
        <v>1276766</v>
      </c>
      <c r="F21" s="284">
        <f t="shared" si="4"/>
        <v>1000652</v>
      </c>
      <c r="G21" s="284">
        <f t="shared" si="4"/>
        <v>276114</v>
      </c>
      <c r="H21" s="284">
        <f t="shared" si="4"/>
        <v>1462987</v>
      </c>
      <c r="I21" s="284">
        <f t="shared" si="4"/>
        <v>1359050</v>
      </c>
      <c r="J21" s="284">
        <f t="shared" si="4"/>
        <v>103936</v>
      </c>
      <c r="K21" s="284">
        <f aca="true" t="shared" si="5" ref="K21:AP21">SUM(K5:K20)</f>
        <v>4267987</v>
      </c>
      <c r="L21" s="284">
        <f t="shared" si="5"/>
        <v>1878710</v>
      </c>
      <c r="M21" s="284">
        <f t="shared" si="5"/>
        <v>2389277</v>
      </c>
      <c r="N21" s="284">
        <f t="shared" si="5"/>
        <v>961203</v>
      </c>
      <c r="O21" s="284">
        <f t="shared" si="5"/>
        <v>733513</v>
      </c>
      <c r="P21" s="284">
        <f t="shared" si="5"/>
        <v>227690</v>
      </c>
      <c r="Q21" s="284">
        <f t="shared" si="5"/>
        <v>1387883</v>
      </c>
      <c r="R21" s="284">
        <f t="shared" si="5"/>
        <v>1290997</v>
      </c>
      <c r="S21" s="284">
        <f t="shared" si="5"/>
        <v>96886</v>
      </c>
      <c r="T21" s="284">
        <f t="shared" si="5"/>
        <v>1178670</v>
      </c>
      <c r="U21" s="284">
        <f t="shared" si="5"/>
        <v>712482</v>
      </c>
      <c r="V21" s="284">
        <f t="shared" si="5"/>
        <v>516839</v>
      </c>
      <c r="W21" s="284">
        <f t="shared" si="5"/>
        <v>1616582</v>
      </c>
      <c r="X21" s="284">
        <f t="shared" si="5"/>
        <v>736352</v>
      </c>
      <c r="Y21" s="284">
        <f t="shared" si="5"/>
        <v>880228</v>
      </c>
      <c r="Z21" s="284">
        <f t="shared" si="5"/>
        <v>1785465</v>
      </c>
      <c r="AA21" s="284">
        <f t="shared" si="5"/>
        <v>1416927</v>
      </c>
      <c r="AB21" s="284">
        <f t="shared" si="5"/>
        <v>368539</v>
      </c>
      <c r="AC21" s="284">
        <f t="shared" si="5"/>
        <v>1223297</v>
      </c>
      <c r="AD21" s="284">
        <f t="shared" si="5"/>
        <v>682859</v>
      </c>
      <c r="AE21" s="284">
        <f t="shared" si="5"/>
        <v>540438</v>
      </c>
      <c r="AF21" s="284">
        <f t="shared" si="5"/>
        <v>7320307</v>
      </c>
      <c r="AG21" s="284">
        <f t="shared" si="5"/>
        <v>4089227</v>
      </c>
      <c r="AH21" s="284">
        <f t="shared" si="5"/>
        <v>3231080</v>
      </c>
      <c r="AI21" s="284">
        <f t="shared" si="5"/>
        <v>8164468</v>
      </c>
      <c r="AJ21" s="284">
        <f t="shared" si="5"/>
        <v>3536859</v>
      </c>
      <c r="AK21" s="284">
        <f t="shared" si="5"/>
        <v>4627609</v>
      </c>
      <c r="AL21" s="284">
        <f t="shared" si="5"/>
        <v>2152653</v>
      </c>
      <c r="AM21" s="284">
        <f t="shared" si="5"/>
        <v>777805</v>
      </c>
      <c r="AN21" s="284">
        <f t="shared" si="5"/>
        <v>1374848</v>
      </c>
      <c r="AO21" s="284">
        <f t="shared" si="5"/>
        <v>1106842</v>
      </c>
      <c r="AP21" s="284">
        <f t="shared" si="5"/>
        <v>838142</v>
      </c>
      <c r="AQ21" s="284">
        <f aca="true" t="shared" si="6" ref="AQ21:BV21">SUM(AQ5:AQ20)</f>
        <v>258699</v>
      </c>
      <c r="AR21" s="284">
        <f t="shared" si="6"/>
        <v>3273185</v>
      </c>
      <c r="AS21" s="284">
        <f t="shared" si="6"/>
        <v>2559542</v>
      </c>
      <c r="AT21" s="284">
        <f t="shared" si="6"/>
        <v>713643</v>
      </c>
      <c r="AU21" s="284">
        <f t="shared" si="6"/>
        <v>7472580</v>
      </c>
      <c r="AV21" s="284">
        <f t="shared" si="6"/>
        <v>5806614</v>
      </c>
      <c r="AW21" s="284">
        <f t="shared" si="6"/>
        <v>1665966</v>
      </c>
      <c r="AX21" s="284">
        <f t="shared" si="6"/>
        <v>2564087</v>
      </c>
      <c r="AY21" s="284">
        <f t="shared" si="6"/>
        <v>1826061</v>
      </c>
      <c r="AZ21" s="284">
        <f t="shared" si="6"/>
        <v>738026</v>
      </c>
      <c r="BA21" s="284">
        <f t="shared" si="6"/>
        <v>1558515</v>
      </c>
      <c r="BB21" s="284">
        <f t="shared" si="6"/>
        <v>1250457</v>
      </c>
      <c r="BC21" s="284">
        <f t="shared" si="6"/>
        <v>308058</v>
      </c>
      <c r="BD21" s="284">
        <f t="shared" si="6"/>
        <v>0</v>
      </c>
      <c r="BE21" s="284">
        <f t="shared" si="6"/>
        <v>0</v>
      </c>
      <c r="BF21" s="284">
        <f t="shared" si="6"/>
        <v>0</v>
      </c>
      <c r="BG21" s="83">
        <f t="shared" si="6"/>
        <v>10028947</v>
      </c>
      <c r="BH21" s="83">
        <f t="shared" si="6"/>
        <v>4395227</v>
      </c>
      <c r="BI21" s="83">
        <f t="shared" si="6"/>
        <v>5633721</v>
      </c>
      <c r="BJ21" s="284">
        <f t="shared" si="6"/>
        <v>1155989</v>
      </c>
      <c r="BK21" s="284">
        <f t="shared" si="6"/>
        <v>528816</v>
      </c>
      <c r="BL21" s="284">
        <f t="shared" si="6"/>
        <v>627173</v>
      </c>
      <c r="BM21" s="284">
        <f t="shared" si="6"/>
        <v>1151635</v>
      </c>
      <c r="BN21" s="284">
        <f t="shared" si="6"/>
        <v>985674</v>
      </c>
      <c r="BO21" s="284">
        <f t="shared" si="6"/>
        <v>165961</v>
      </c>
      <c r="BP21" s="284">
        <f t="shared" si="6"/>
        <v>5083148</v>
      </c>
      <c r="BQ21" s="284">
        <f t="shared" si="6"/>
        <v>3152999</v>
      </c>
      <c r="BR21" s="1467">
        <f t="shared" si="6"/>
        <v>1930149</v>
      </c>
      <c r="BS21" s="284">
        <f t="shared" si="6"/>
        <v>69938320</v>
      </c>
      <c r="BT21" s="284">
        <f t="shared" si="6"/>
        <v>42479000</v>
      </c>
      <c r="BU21" s="1471">
        <f t="shared" si="6"/>
        <v>27370968</v>
      </c>
      <c r="BV21" s="284">
        <f t="shared" si="6"/>
        <v>54892282</v>
      </c>
      <c r="BW21" s="284">
        <f>SUM(BW5:BW20)</f>
        <v>28467218</v>
      </c>
      <c r="BX21" s="284">
        <f>SUM(BX5:BX20)</f>
        <v>26425064</v>
      </c>
      <c r="BY21" s="284">
        <f>SUM(BY5:BY20)</f>
        <v>124830602</v>
      </c>
      <c r="BZ21" s="284">
        <f>SUM(BZ5:BZ20)</f>
        <v>70946218</v>
      </c>
      <c r="CA21" s="284">
        <f>SUM(CA5:CA20)</f>
        <v>53796032</v>
      </c>
    </row>
    <row r="22" spans="1:79" ht="16.5">
      <c r="A22" s="640" t="s">
        <v>283</v>
      </c>
      <c r="B22" s="1278"/>
      <c r="C22" s="311"/>
      <c r="D22" s="312">
        <v>43978</v>
      </c>
      <c r="E22" s="310"/>
      <c r="F22" s="311"/>
      <c r="G22" s="312">
        <v>17574</v>
      </c>
      <c r="H22" s="310">
        <v>13827</v>
      </c>
      <c r="I22" s="311"/>
      <c r="J22" s="312">
        <v>13827</v>
      </c>
      <c r="K22" s="310">
        <v>114045</v>
      </c>
      <c r="L22" s="311"/>
      <c r="M22" s="294">
        <v>11045</v>
      </c>
      <c r="N22" s="310"/>
      <c r="O22" s="311"/>
      <c r="P22" s="312">
        <v>29465</v>
      </c>
      <c r="Q22" s="310">
        <v>47633</v>
      </c>
      <c r="R22" s="311"/>
      <c r="S22" s="312">
        <v>47633</v>
      </c>
      <c r="T22" s="1278"/>
      <c r="U22" s="311"/>
      <c r="V22" s="312">
        <v>26603</v>
      </c>
      <c r="W22" s="310">
        <v>102215</v>
      </c>
      <c r="X22" s="311"/>
      <c r="Y22" s="312">
        <v>102215</v>
      </c>
      <c r="Z22" s="310"/>
      <c r="AA22" s="311"/>
      <c r="AB22" s="312"/>
      <c r="AC22" s="310"/>
      <c r="AD22" s="311"/>
      <c r="AE22" s="312">
        <v>67893</v>
      </c>
      <c r="AF22" s="310">
        <v>101894</v>
      </c>
      <c r="AG22" s="311"/>
      <c r="AH22" s="312">
        <v>101864</v>
      </c>
      <c r="AI22" s="310"/>
      <c r="AJ22" s="311"/>
      <c r="AK22" s="312">
        <v>129413</v>
      </c>
      <c r="AL22" s="310"/>
      <c r="AM22" s="311"/>
      <c r="AN22" s="312"/>
      <c r="AO22" s="310">
        <v>24881</v>
      </c>
      <c r="AP22" s="311"/>
      <c r="AQ22" s="312">
        <v>24881</v>
      </c>
      <c r="AR22" s="310"/>
      <c r="AS22" s="311"/>
      <c r="AT22" s="312">
        <v>37481</v>
      </c>
      <c r="AU22" s="310"/>
      <c r="AV22" s="311"/>
      <c r="AW22" s="312">
        <v>255216</v>
      </c>
      <c r="AX22" s="310"/>
      <c r="AY22" s="311"/>
      <c r="AZ22" s="312">
        <v>228315</v>
      </c>
      <c r="BA22" s="310"/>
      <c r="BB22" s="311"/>
      <c r="BC22" s="312">
        <v>110501</v>
      </c>
      <c r="BD22" s="310"/>
      <c r="BE22" s="311"/>
      <c r="BF22" s="312"/>
      <c r="BG22" s="23">
        <v>318512</v>
      </c>
      <c r="BH22" s="46"/>
      <c r="BI22" s="25">
        <v>318512</v>
      </c>
      <c r="BJ22" s="310">
        <f>13725</f>
        <v>13725</v>
      </c>
      <c r="BK22" s="311"/>
      <c r="BL22" s="312">
        <v>13725</v>
      </c>
      <c r="BM22" s="310">
        <v>5897</v>
      </c>
      <c r="BN22" s="311"/>
      <c r="BO22" s="312">
        <v>5897</v>
      </c>
      <c r="BP22" s="310"/>
      <c r="BQ22" s="311"/>
      <c r="BR22" s="1468">
        <v>41044</v>
      </c>
      <c r="BS22" s="298">
        <f aca="true" t="shared" si="7" ref="BS22:BU23">B22+E22+H22+K22+N22+Q22+T22+W22+Z22+AC22+AF22+AI22+AL22+AO22+AR22+AU22+AX22+BA22+BD22+BG22+BJ22+BM22+BP22</f>
        <v>742629</v>
      </c>
      <c r="BT22" s="288">
        <f t="shared" si="7"/>
        <v>0</v>
      </c>
      <c r="BU22" s="289">
        <f t="shared" si="7"/>
        <v>1627082</v>
      </c>
      <c r="BV22" s="310">
        <v>2414944</v>
      </c>
      <c r="BW22" s="311"/>
      <c r="BX22" s="312">
        <v>2414944</v>
      </c>
      <c r="BY22" s="298">
        <f aca="true" t="shared" si="8" ref="BY22:CA23">BS22+BV22</f>
        <v>3157573</v>
      </c>
      <c r="BZ22" s="288">
        <f t="shared" si="8"/>
        <v>0</v>
      </c>
      <c r="CA22" s="289">
        <f t="shared" si="8"/>
        <v>4042026</v>
      </c>
    </row>
    <row r="23" spans="1:79" s="1193" customFormat="1" ht="17.25">
      <c r="A23" s="1285" t="s">
        <v>2</v>
      </c>
      <c r="B23" s="1286">
        <f aca="true" t="shared" si="9" ref="B23:H23">B21+B22</f>
        <v>3745124</v>
      </c>
      <c r="C23" s="1287">
        <f t="shared" si="9"/>
        <v>2920035</v>
      </c>
      <c r="D23" s="1288">
        <f t="shared" si="9"/>
        <v>740066</v>
      </c>
      <c r="E23" s="1289">
        <f t="shared" si="9"/>
        <v>1276766</v>
      </c>
      <c r="F23" s="1287">
        <f t="shared" si="9"/>
        <v>1000652</v>
      </c>
      <c r="G23" s="1288">
        <f t="shared" si="9"/>
        <v>293688</v>
      </c>
      <c r="H23" s="1289">
        <f t="shared" si="9"/>
        <v>1476814</v>
      </c>
      <c r="I23" s="1287">
        <f aca="true" t="shared" si="10" ref="I23:BI23">I21+I22</f>
        <v>1359050</v>
      </c>
      <c r="J23" s="1288">
        <f t="shared" si="10"/>
        <v>117763</v>
      </c>
      <c r="K23" s="1289">
        <f t="shared" si="10"/>
        <v>4382032</v>
      </c>
      <c r="L23" s="1287">
        <f t="shared" si="10"/>
        <v>1878710</v>
      </c>
      <c r="M23" s="1288">
        <f t="shared" si="10"/>
        <v>2400322</v>
      </c>
      <c r="N23" s="1289">
        <f t="shared" si="10"/>
        <v>961203</v>
      </c>
      <c r="O23" s="1287">
        <f t="shared" si="10"/>
        <v>733513</v>
      </c>
      <c r="P23" s="1288">
        <f t="shared" si="10"/>
        <v>257155</v>
      </c>
      <c r="Q23" s="1289">
        <f t="shared" si="10"/>
        <v>1435516</v>
      </c>
      <c r="R23" s="1287">
        <f t="shared" si="10"/>
        <v>1290997</v>
      </c>
      <c r="S23" s="1288">
        <f t="shared" si="10"/>
        <v>144519</v>
      </c>
      <c r="T23" s="1286">
        <f t="shared" si="10"/>
        <v>1178670</v>
      </c>
      <c r="U23" s="1287">
        <f t="shared" si="10"/>
        <v>712482</v>
      </c>
      <c r="V23" s="1288">
        <f t="shared" si="10"/>
        <v>543442</v>
      </c>
      <c r="W23" s="1289">
        <f t="shared" si="10"/>
        <v>1718797</v>
      </c>
      <c r="X23" s="1287">
        <f t="shared" si="10"/>
        <v>736352</v>
      </c>
      <c r="Y23" s="1288">
        <f t="shared" si="10"/>
        <v>982443</v>
      </c>
      <c r="Z23" s="1289">
        <f t="shared" si="10"/>
        <v>1785465</v>
      </c>
      <c r="AA23" s="1287">
        <f t="shared" si="10"/>
        <v>1416927</v>
      </c>
      <c r="AB23" s="1288">
        <f t="shared" si="10"/>
        <v>368539</v>
      </c>
      <c r="AC23" s="1289">
        <f t="shared" si="10"/>
        <v>1223297</v>
      </c>
      <c r="AD23" s="1287">
        <f t="shared" si="10"/>
        <v>682859</v>
      </c>
      <c r="AE23" s="1288">
        <f t="shared" si="10"/>
        <v>608331</v>
      </c>
      <c r="AF23" s="1289">
        <f t="shared" si="10"/>
        <v>7422201</v>
      </c>
      <c r="AG23" s="1287">
        <f t="shared" si="10"/>
        <v>4089227</v>
      </c>
      <c r="AH23" s="1288">
        <f t="shared" si="10"/>
        <v>3332944</v>
      </c>
      <c r="AI23" s="1289">
        <f t="shared" si="10"/>
        <v>8164468</v>
      </c>
      <c r="AJ23" s="1287">
        <f t="shared" si="10"/>
        <v>3536859</v>
      </c>
      <c r="AK23" s="1288">
        <f t="shared" si="10"/>
        <v>4757022</v>
      </c>
      <c r="AL23" s="1289">
        <f t="shared" si="10"/>
        <v>2152653</v>
      </c>
      <c r="AM23" s="1287">
        <f t="shared" si="10"/>
        <v>777805</v>
      </c>
      <c r="AN23" s="1288">
        <f t="shared" si="10"/>
        <v>1374848</v>
      </c>
      <c r="AO23" s="1289">
        <f t="shared" si="10"/>
        <v>1131723</v>
      </c>
      <c r="AP23" s="1287">
        <f t="shared" si="10"/>
        <v>838142</v>
      </c>
      <c r="AQ23" s="1288">
        <f t="shared" si="10"/>
        <v>283580</v>
      </c>
      <c r="AR23" s="1289">
        <f t="shared" si="10"/>
        <v>3273185</v>
      </c>
      <c r="AS23" s="1287">
        <f t="shared" si="10"/>
        <v>2559542</v>
      </c>
      <c r="AT23" s="1288">
        <f t="shared" si="10"/>
        <v>751124</v>
      </c>
      <c r="AU23" s="1289">
        <f t="shared" si="10"/>
        <v>7472580</v>
      </c>
      <c r="AV23" s="1287">
        <f t="shared" si="10"/>
        <v>5806614</v>
      </c>
      <c r="AW23" s="1288">
        <f t="shared" si="10"/>
        <v>1921182</v>
      </c>
      <c r="AX23" s="1289">
        <f t="shared" si="10"/>
        <v>2564087</v>
      </c>
      <c r="AY23" s="1287">
        <f t="shared" si="10"/>
        <v>1826061</v>
      </c>
      <c r="AZ23" s="1288">
        <f>AZ21+AZ22</f>
        <v>966341</v>
      </c>
      <c r="BA23" s="1289">
        <f>BA21+BA22</f>
        <v>1558515</v>
      </c>
      <c r="BB23" s="1287">
        <f t="shared" si="10"/>
        <v>1250457</v>
      </c>
      <c r="BC23" s="1288">
        <f t="shared" si="10"/>
        <v>418559</v>
      </c>
      <c r="BD23" s="1289">
        <f t="shared" si="10"/>
        <v>0</v>
      </c>
      <c r="BE23" s="1287">
        <f t="shared" si="10"/>
        <v>0</v>
      </c>
      <c r="BF23" s="1288">
        <f t="shared" si="10"/>
        <v>0</v>
      </c>
      <c r="BG23" s="1461">
        <f t="shared" si="10"/>
        <v>10347459</v>
      </c>
      <c r="BH23" s="1461">
        <f t="shared" si="10"/>
        <v>4395227</v>
      </c>
      <c r="BI23" s="1461">
        <f t="shared" si="10"/>
        <v>5952233</v>
      </c>
      <c r="BJ23" s="1289">
        <f>BJ21+BJ22</f>
        <v>1169714</v>
      </c>
      <c r="BK23" s="1287">
        <f>BK21+BK22</f>
        <v>528816</v>
      </c>
      <c r="BL23" s="1288">
        <f aca="true" t="shared" si="11" ref="BL23:BR23">BL21+BL22</f>
        <v>640898</v>
      </c>
      <c r="BM23" s="1289">
        <f t="shared" si="11"/>
        <v>1157532</v>
      </c>
      <c r="BN23" s="1287">
        <f t="shared" si="11"/>
        <v>985674</v>
      </c>
      <c r="BO23" s="1288">
        <f t="shared" si="11"/>
        <v>171858</v>
      </c>
      <c r="BP23" s="1289">
        <f t="shared" si="11"/>
        <v>5083148</v>
      </c>
      <c r="BQ23" s="1287">
        <f t="shared" si="11"/>
        <v>3152999</v>
      </c>
      <c r="BR23" s="1469">
        <f t="shared" si="11"/>
        <v>1971193</v>
      </c>
      <c r="BS23" s="1292">
        <f t="shared" si="7"/>
        <v>70680949</v>
      </c>
      <c r="BT23" s="1290">
        <f t="shared" si="7"/>
        <v>42479000</v>
      </c>
      <c r="BU23" s="1291">
        <f t="shared" si="7"/>
        <v>28998050</v>
      </c>
      <c r="BV23" s="1289">
        <f>BV21+BV22</f>
        <v>57307226</v>
      </c>
      <c r="BW23" s="1287">
        <f>BW21+BW22</f>
        <v>28467218</v>
      </c>
      <c r="BX23" s="1288">
        <f>BX21+BX22</f>
        <v>28840008</v>
      </c>
      <c r="BY23" s="1292">
        <f t="shared" si="8"/>
        <v>127988175</v>
      </c>
      <c r="BZ23" s="1290">
        <f t="shared" si="8"/>
        <v>70946218</v>
      </c>
      <c r="CA23" s="1291">
        <f t="shared" si="8"/>
        <v>57838058</v>
      </c>
    </row>
    <row r="24" spans="1:79" ht="17.25">
      <c r="A24" s="641" t="s">
        <v>322</v>
      </c>
      <c r="B24" s="1278">
        <v>3522321</v>
      </c>
      <c r="C24" s="311">
        <v>2826233</v>
      </c>
      <c r="D24" s="312">
        <v>809500</v>
      </c>
      <c r="E24" s="310">
        <v>1075472</v>
      </c>
      <c r="F24" s="311">
        <v>897501</v>
      </c>
      <c r="G24" s="312">
        <v>203926</v>
      </c>
      <c r="H24" s="310">
        <v>1523183</v>
      </c>
      <c r="I24" s="311">
        <v>1385756</v>
      </c>
      <c r="J24" s="312">
        <v>137427</v>
      </c>
      <c r="K24" s="310">
        <v>4490156</v>
      </c>
      <c r="L24" s="311">
        <v>2117410</v>
      </c>
      <c r="M24" s="1279">
        <v>2372746</v>
      </c>
      <c r="N24" s="310">
        <v>872427</v>
      </c>
      <c r="O24" s="311">
        <v>676385</v>
      </c>
      <c r="P24" s="312">
        <v>230120</v>
      </c>
      <c r="Q24" s="310">
        <v>1329136</v>
      </c>
      <c r="R24" s="311">
        <v>1239050</v>
      </c>
      <c r="S24" s="312">
        <v>90086</v>
      </c>
      <c r="T24" s="1278">
        <v>1064823</v>
      </c>
      <c r="U24" s="311">
        <v>547984</v>
      </c>
      <c r="V24" s="312">
        <v>504589</v>
      </c>
      <c r="W24" s="310">
        <v>1376309</v>
      </c>
      <c r="X24" s="311">
        <v>516858</v>
      </c>
      <c r="Y24" s="312">
        <v>889339</v>
      </c>
      <c r="Z24" s="310">
        <v>1624691</v>
      </c>
      <c r="AA24" s="311">
        <v>1269514</v>
      </c>
      <c r="AB24" s="312">
        <v>412636</v>
      </c>
      <c r="AC24" s="310">
        <v>986655</v>
      </c>
      <c r="AD24" s="311">
        <v>545339</v>
      </c>
      <c r="AE24" s="312">
        <v>475394</v>
      </c>
      <c r="AF24" s="310">
        <v>7210526</v>
      </c>
      <c r="AG24" s="311">
        <v>3796489</v>
      </c>
      <c r="AH24" s="312">
        <v>3414037</v>
      </c>
      <c r="AI24" s="310">
        <v>7436986</v>
      </c>
      <c r="AJ24" s="311">
        <v>3392212</v>
      </c>
      <c r="AK24" s="312">
        <v>4220622</v>
      </c>
      <c r="AL24" s="310">
        <v>2116072</v>
      </c>
      <c r="AM24" s="311">
        <v>677742</v>
      </c>
      <c r="AN24" s="312">
        <v>1438330</v>
      </c>
      <c r="AO24" s="310">
        <v>1037022</v>
      </c>
      <c r="AP24" s="311">
        <v>823278</v>
      </c>
      <c r="AQ24" s="312">
        <v>213744</v>
      </c>
      <c r="AR24" s="310">
        <v>2852622</v>
      </c>
      <c r="AS24" s="311">
        <v>2262823</v>
      </c>
      <c r="AT24" s="312">
        <v>653867</v>
      </c>
      <c r="AU24" s="310">
        <v>6817142</v>
      </c>
      <c r="AV24" s="311">
        <v>5435496</v>
      </c>
      <c r="AW24" s="312">
        <v>1581831</v>
      </c>
      <c r="AX24" s="310">
        <v>2438600</v>
      </c>
      <c r="AY24" s="311">
        <v>1660095</v>
      </c>
      <c r="AZ24" s="312">
        <v>795047</v>
      </c>
      <c r="BA24" s="310">
        <v>1358920</v>
      </c>
      <c r="BB24" s="311">
        <v>1088439</v>
      </c>
      <c r="BC24" s="312">
        <v>284457</v>
      </c>
      <c r="BD24" s="310"/>
      <c r="BE24" s="311"/>
      <c r="BF24" s="312"/>
      <c r="BG24" s="1462">
        <v>9319472</v>
      </c>
      <c r="BH24" s="1463">
        <v>3506553</v>
      </c>
      <c r="BI24" s="1464">
        <v>5812919</v>
      </c>
      <c r="BJ24" s="310">
        <v>863717</v>
      </c>
      <c r="BK24" s="311">
        <v>457378</v>
      </c>
      <c r="BL24" s="312">
        <v>406339</v>
      </c>
      <c r="BM24" s="310">
        <v>1098288</v>
      </c>
      <c r="BN24" s="311">
        <v>902688</v>
      </c>
      <c r="BO24" s="312">
        <v>195600</v>
      </c>
      <c r="BP24" s="310">
        <v>4563643</v>
      </c>
      <c r="BQ24" s="311">
        <v>2850929</v>
      </c>
      <c r="BR24" s="1468">
        <v>1753637</v>
      </c>
      <c r="BS24" s="309"/>
      <c r="BT24" s="305"/>
      <c r="BU24" s="306"/>
      <c r="BV24" s="310">
        <v>53558087</v>
      </c>
      <c r="BW24" s="311">
        <v>26069472</v>
      </c>
      <c r="BX24" s="312">
        <v>27488615</v>
      </c>
      <c r="BY24" s="309"/>
      <c r="BZ24" s="305"/>
      <c r="CA24" s="306"/>
    </row>
    <row r="25" spans="1:79" ht="17.25" thickBot="1">
      <c r="A25" s="642" t="s">
        <v>284</v>
      </c>
      <c r="B25" s="1280"/>
      <c r="C25" s="1281"/>
      <c r="D25" s="1282"/>
      <c r="E25" s="1283"/>
      <c r="F25" s="1281"/>
      <c r="G25" s="1282"/>
      <c r="H25" s="1283"/>
      <c r="I25" s="1281"/>
      <c r="J25" s="1282"/>
      <c r="K25" s="1283"/>
      <c r="L25" s="1281"/>
      <c r="M25" s="1284"/>
      <c r="N25" s="1283"/>
      <c r="O25" s="1281"/>
      <c r="P25" s="1282"/>
      <c r="Q25" s="1283"/>
      <c r="R25" s="1281"/>
      <c r="S25" s="1282"/>
      <c r="T25" s="1280"/>
      <c r="U25" s="1281"/>
      <c r="V25" s="1282"/>
      <c r="W25" s="1283"/>
      <c r="X25" s="1281"/>
      <c r="Y25" s="1282"/>
      <c r="Z25" s="1283"/>
      <c r="AA25" s="1281"/>
      <c r="AB25" s="1282"/>
      <c r="AC25" s="1283"/>
      <c r="AD25" s="1281"/>
      <c r="AE25" s="1282"/>
      <c r="AF25" s="1283"/>
      <c r="AG25" s="1281"/>
      <c r="AH25" s="1282"/>
      <c r="AI25" s="1283"/>
      <c r="AJ25" s="1281"/>
      <c r="AK25" s="1282"/>
      <c r="AL25" s="1283"/>
      <c r="AM25" s="1281"/>
      <c r="AN25" s="1282"/>
      <c r="AO25" s="1283"/>
      <c r="AP25" s="1281"/>
      <c r="AQ25" s="1282"/>
      <c r="AR25" s="1283"/>
      <c r="AS25" s="1281"/>
      <c r="AT25" s="1282"/>
      <c r="AU25" s="1283"/>
      <c r="AV25" s="1281"/>
      <c r="AW25" s="1282"/>
      <c r="AX25" s="1283"/>
      <c r="AY25" s="1281"/>
      <c r="AZ25" s="1282"/>
      <c r="BA25" s="1283"/>
      <c r="BB25" s="1281"/>
      <c r="BC25" s="1282"/>
      <c r="BD25" s="1283"/>
      <c r="BE25" s="1281"/>
      <c r="BF25" s="1282"/>
      <c r="BG25" s="1465"/>
      <c r="BH25" s="360"/>
      <c r="BI25" s="361"/>
      <c r="BJ25" s="1283"/>
      <c r="BK25" s="1281"/>
      <c r="BL25" s="1282"/>
      <c r="BM25" s="1283"/>
      <c r="BN25" s="1281"/>
      <c r="BO25" s="1282"/>
      <c r="BP25" s="1283"/>
      <c r="BQ25" s="1281"/>
      <c r="BR25" s="1470"/>
      <c r="BS25" s="1280"/>
      <c r="BT25" s="1281"/>
      <c r="BU25" s="1282"/>
      <c r="BV25" s="1283"/>
      <c r="BW25" s="1281"/>
      <c r="BX25" s="1282"/>
      <c r="BY25" s="1280"/>
      <c r="BZ25" s="1281"/>
      <c r="CA25" s="1282"/>
    </row>
  </sheetData>
  <sheetProtection/>
  <mergeCells count="28">
    <mergeCell ref="BS3:BU3"/>
    <mergeCell ref="BV3:BX3"/>
    <mergeCell ref="BY3:CA3"/>
    <mergeCell ref="AR3:AT3"/>
    <mergeCell ref="AU3:AW3"/>
    <mergeCell ref="AX3:AZ3"/>
    <mergeCell ref="BA3:BC3"/>
    <mergeCell ref="BD3:BF3"/>
    <mergeCell ref="BG3:BI3"/>
    <mergeCell ref="BJ3:BL3"/>
    <mergeCell ref="BP3:BR3"/>
    <mergeCell ref="W3:Y3"/>
    <mergeCell ref="Z3:AB3"/>
    <mergeCell ref="AC3:AE3"/>
    <mergeCell ref="AF3:AH3"/>
    <mergeCell ref="AI3:AK3"/>
    <mergeCell ref="AL3:AN3"/>
    <mergeCell ref="AO3:AQ3"/>
    <mergeCell ref="A1:BZ1"/>
    <mergeCell ref="A2:BZ2"/>
    <mergeCell ref="B3:D3"/>
    <mergeCell ref="E3:G3"/>
    <mergeCell ref="H3:J3"/>
    <mergeCell ref="K3:M3"/>
    <mergeCell ref="N3:P3"/>
    <mergeCell ref="Q3:S3"/>
    <mergeCell ref="T3:V3"/>
    <mergeCell ref="BM3:BO3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pane xSplit="1" topLeftCell="U1" activePane="topRight" state="frozen"/>
      <selection pane="topLeft" activeCell="A1" sqref="A1"/>
      <selection pane="topRight" activeCell="Z10" sqref="Z10"/>
    </sheetView>
  </sheetViews>
  <sheetFormatPr defaultColWidth="9.140625" defaultRowHeight="15"/>
  <cols>
    <col min="1" max="1" width="46.7109375" style="162" customWidth="1"/>
    <col min="2" max="2" width="19.8515625" style="162" bestFit="1" customWidth="1"/>
    <col min="3" max="3" width="18.57421875" style="162" customWidth="1"/>
    <col min="4" max="27" width="19.8515625" style="162" bestFit="1" customWidth="1"/>
    <col min="28" max="16384" width="9.140625" style="162" customWidth="1"/>
  </cols>
  <sheetData>
    <row r="1" spans="1:27" ht="115.5" customHeight="1" thickBot="1">
      <c r="A1" s="1306" t="s">
        <v>342</v>
      </c>
      <c r="B1" s="1305" t="s">
        <v>190</v>
      </c>
      <c r="C1" s="1554" t="s">
        <v>191</v>
      </c>
      <c r="D1" s="1301" t="s">
        <v>192</v>
      </c>
      <c r="E1" s="1554" t="s">
        <v>193</v>
      </c>
      <c r="F1" s="1301" t="s">
        <v>194</v>
      </c>
      <c r="G1" s="1553" t="s">
        <v>195</v>
      </c>
      <c r="H1" s="1296" t="s">
        <v>196</v>
      </c>
      <c r="I1" s="1304" t="s">
        <v>197</v>
      </c>
      <c r="J1" s="1296" t="s">
        <v>198</v>
      </c>
      <c r="K1" s="1304" t="s">
        <v>199</v>
      </c>
      <c r="L1" s="1296" t="s">
        <v>200</v>
      </c>
      <c r="M1" s="1304" t="s">
        <v>201</v>
      </c>
      <c r="N1" s="1296" t="s">
        <v>202</v>
      </c>
      <c r="O1" s="1301" t="s">
        <v>203</v>
      </c>
      <c r="P1" s="1303" t="s">
        <v>204</v>
      </c>
      <c r="Q1" s="1301" t="s">
        <v>205</v>
      </c>
      <c r="R1" s="1296" t="s">
        <v>206</v>
      </c>
      <c r="S1" s="1301" t="s">
        <v>207</v>
      </c>
      <c r="T1" s="1303" t="s">
        <v>208</v>
      </c>
      <c r="U1" s="1301" t="s">
        <v>209</v>
      </c>
      <c r="V1" s="1296" t="s">
        <v>210</v>
      </c>
      <c r="W1" s="1301" t="s">
        <v>211</v>
      </c>
      <c r="X1" s="1296" t="s">
        <v>212</v>
      </c>
      <c r="Y1" s="1295" t="s">
        <v>1</v>
      </c>
      <c r="Z1" s="815" t="s">
        <v>213</v>
      </c>
      <c r="AA1" s="816" t="s">
        <v>2</v>
      </c>
    </row>
    <row r="2" spans="1:27" s="1043" customFormat="1" ht="15" thickBot="1">
      <c r="A2" s="1144" t="s">
        <v>0</v>
      </c>
      <c r="B2" s="1112" t="s">
        <v>343</v>
      </c>
      <c r="C2" s="1145" t="s">
        <v>343</v>
      </c>
      <c r="D2" s="1112" t="s">
        <v>343</v>
      </c>
      <c r="E2" s="1145" t="s">
        <v>343</v>
      </c>
      <c r="F2" s="1112" t="s">
        <v>343</v>
      </c>
      <c r="G2" s="1145" t="s">
        <v>343</v>
      </c>
      <c r="H2" s="1112" t="s">
        <v>343</v>
      </c>
      <c r="I2" s="1145" t="s">
        <v>343</v>
      </c>
      <c r="J2" s="1112" t="s">
        <v>343</v>
      </c>
      <c r="K2" s="1145" t="s">
        <v>343</v>
      </c>
      <c r="L2" s="1112" t="s">
        <v>343</v>
      </c>
      <c r="M2" s="1145" t="s">
        <v>343</v>
      </c>
      <c r="N2" s="1112" t="s">
        <v>343</v>
      </c>
      <c r="O2" s="1112" t="s">
        <v>343</v>
      </c>
      <c r="P2" s="1145" t="s">
        <v>343</v>
      </c>
      <c r="Q2" s="1112" t="s">
        <v>343</v>
      </c>
      <c r="R2" s="1145" t="s">
        <v>343</v>
      </c>
      <c r="S2" s="1112" t="s">
        <v>343</v>
      </c>
      <c r="T2" s="1145" t="s">
        <v>343</v>
      </c>
      <c r="U2" s="1112" t="s">
        <v>343</v>
      </c>
      <c r="V2" s="1145" t="s">
        <v>343</v>
      </c>
      <c r="W2" s="1112" t="s">
        <v>343</v>
      </c>
      <c r="X2" s="1145" t="s">
        <v>343</v>
      </c>
      <c r="Y2" s="1112" t="s">
        <v>343</v>
      </c>
      <c r="Z2" s="1112" t="s">
        <v>343</v>
      </c>
      <c r="AA2" s="1112" t="s">
        <v>343</v>
      </c>
    </row>
    <row r="3" spans="1:27" ht="14.25">
      <c r="A3" s="812" t="s">
        <v>323</v>
      </c>
      <c r="B3" s="834">
        <v>1227402</v>
      </c>
      <c r="C3" s="835">
        <v>91619</v>
      </c>
      <c r="D3" s="835">
        <v>162824</v>
      </c>
      <c r="E3" s="835">
        <v>2089353</v>
      </c>
      <c r="F3" s="835">
        <v>298787</v>
      </c>
      <c r="G3" s="835">
        <v>1998</v>
      </c>
      <c r="H3" s="835">
        <v>179944</v>
      </c>
      <c r="I3" s="835">
        <v>353316</v>
      </c>
      <c r="J3" s="835">
        <v>590121</v>
      </c>
      <c r="K3" s="835">
        <v>544968</v>
      </c>
      <c r="L3" s="835">
        <v>1946862</v>
      </c>
      <c r="M3" s="835">
        <v>1558673</v>
      </c>
      <c r="N3" s="835">
        <v>42110</v>
      </c>
      <c r="O3" s="836">
        <v>5710.04</v>
      </c>
      <c r="P3" s="1297">
        <v>1752645</v>
      </c>
      <c r="Q3" s="836">
        <v>661460</v>
      </c>
      <c r="R3" s="1297">
        <v>1000233</v>
      </c>
      <c r="S3" s="836">
        <v>881840</v>
      </c>
      <c r="T3" s="1297"/>
      <c r="U3" s="836">
        <v>1676821</v>
      </c>
      <c r="V3" s="1297">
        <v>363227</v>
      </c>
      <c r="W3" s="836">
        <v>146182</v>
      </c>
      <c r="X3" s="1297">
        <v>1693222</v>
      </c>
      <c r="Y3" s="1293">
        <f>SUM(B3:X3)</f>
        <v>17269317.04</v>
      </c>
      <c r="Z3" s="836">
        <v>41338269</v>
      </c>
      <c r="AA3" s="1293">
        <f>Y3+Z3</f>
        <v>58607586.04</v>
      </c>
    </row>
    <row r="4" spans="1:27" ht="14.25">
      <c r="A4" s="199" t="s">
        <v>324</v>
      </c>
      <c r="B4" s="818"/>
      <c r="C4" s="819"/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20"/>
      <c r="P4" s="818"/>
      <c r="Q4" s="820"/>
      <c r="R4" s="818"/>
      <c r="S4" s="820"/>
      <c r="T4" s="818"/>
      <c r="U4" s="820"/>
      <c r="V4" s="818"/>
      <c r="W4" s="820"/>
      <c r="X4" s="818"/>
      <c r="Y4" s="1293">
        <f aca="true" t="shared" si="0" ref="Y4:Y27">SUM(B4:X4)</f>
        <v>0</v>
      </c>
      <c r="Z4" s="820"/>
      <c r="AA4" s="1293">
        <f aca="true" t="shared" si="1" ref="AA4:AA27">Y4+Z4</f>
        <v>0</v>
      </c>
    </row>
    <row r="5" spans="1:27" ht="14.25">
      <c r="A5" s="199" t="s">
        <v>325</v>
      </c>
      <c r="B5" s="818"/>
      <c r="C5" s="819"/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20"/>
      <c r="P5" s="818"/>
      <c r="Q5" s="820"/>
      <c r="R5" s="818"/>
      <c r="S5" s="820"/>
      <c r="T5" s="818"/>
      <c r="U5" s="820"/>
      <c r="V5" s="818"/>
      <c r="W5" s="820"/>
      <c r="X5" s="818"/>
      <c r="Y5" s="1293">
        <f t="shared" si="0"/>
        <v>0</v>
      </c>
      <c r="Z5" s="820"/>
      <c r="AA5" s="1293">
        <f t="shared" si="1"/>
        <v>0</v>
      </c>
    </row>
    <row r="6" spans="1:27" ht="14.25">
      <c r="A6" s="199" t="s">
        <v>326</v>
      </c>
      <c r="B6" s="821">
        <v>17293</v>
      </c>
      <c r="C6" s="819"/>
      <c r="D6" s="819">
        <v>208939</v>
      </c>
      <c r="E6" s="819"/>
      <c r="F6" s="819">
        <v>109200</v>
      </c>
      <c r="G6" s="819"/>
      <c r="H6" s="819"/>
      <c r="I6" s="819"/>
      <c r="J6" s="819">
        <v>1103500</v>
      </c>
      <c r="K6" s="819"/>
      <c r="L6" s="819">
        <v>880723</v>
      </c>
      <c r="M6" s="819"/>
      <c r="N6" s="819"/>
      <c r="O6" s="820"/>
      <c r="P6" s="818"/>
      <c r="Q6" s="820"/>
      <c r="R6" s="818">
        <v>216700</v>
      </c>
      <c r="S6" s="820">
        <v>998</v>
      </c>
      <c r="T6" s="818"/>
      <c r="U6" s="820">
        <v>3403300</v>
      </c>
      <c r="V6" s="818"/>
      <c r="W6" s="820"/>
      <c r="X6" s="818">
        <v>6945</v>
      </c>
      <c r="Y6" s="1293">
        <f t="shared" si="0"/>
        <v>5947598</v>
      </c>
      <c r="Z6" s="820">
        <v>14930538</v>
      </c>
      <c r="AA6" s="1293">
        <f t="shared" si="1"/>
        <v>20878136</v>
      </c>
    </row>
    <row r="7" spans="1:27" ht="14.25">
      <c r="A7" s="199" t="s">
        <v>327</v>
      </c>
      <c r="B7" s="821">
        <v>2500</v>
      </c>
      <c r="C7" s="819"/>
      <c r="D7" s="819">
        <v>5261</v>
      </c>
      <c r="E7" s="819"/>
      <c r="F7" s="819"/>
      <c r="G7" s="819"/>
      <c r="H7" s="819">
        <v>100</v>
      </c>
      <c r="I7" s="819">
        <v>657</v>
      </c>
      <c r="J7" s="819"/>
      <c r="K7" s="819"/>
      <c r="L7" s="819">
        <v>3514</v>
      </c>
      <c r="M7" s="819"/>
      <c r="N7" s="819"/>
      <c r="O7" s="820"/>
      <c r="P7" s="818"/>
      <c r="Q7" s="820"/>
      <c r="R7" s="818">
        <v>597</v>
      </c>
      <c r="S7" s="820">
        <v>160095</v>
      </c>
      <c r="T7" s="818"/>
      <c r="U7" s="820">
        <v>11867800</v>
      </c>
      <c r="V7" s="818"/>
      <c r="W7" s="820"/>
      <c r="X7" s="818">
        <v>2500</v>
      </c>
      <c r="Y7" s="1293">
        <f t="shared" si="0"/>
        <v>12043024</v>
      </c>
      <c r="Z7" s="820">
        <v>4750986</v>
      </c>
      <c r="AA7" s="1293">
        <f t="shared" si="1"/>
        <v>16794010</v>
      </c>
    </row>
    <row r="8" spans="1:27" ht="14.25">
      <c r="A8" s="199" t="s">
        <v>328</v>
      </c>
      <c r="B8" s="821">
        <v>5193401</v>
      </c>
      <c r="C8" s="819">
        <v>380087</v>
      </c>
      <c r="D8" s="819">
        <v>592187</v>
      </c>
      <c r="E8" s="819">
        <v>5327850</v>
      </c>
      <c r="F8" s="819">
        <v>802808</v>
      </c>
      <c r="G8" s="819">
        <v>2679201</v>
      </c>
      <c r="H8" s="819">
        <v>469912</v>
      </c>
      <c r="I8" s="819">
        <v>619986</v>
      </c>
      <c r="J8" s="819">
        <v>1401493</v>
      </c>
      <c r="K8" s="819">
        <v>606977</v>
      </c>
      <c r="L8" s="819">
        <v>9567087</v>
      </c>
      <c r="M8" s="819">
        <v>5045298</v>
      </c>
      <c r="N8" s="819">
        <v>1322072</v>
      </c>
      <c r="O8" s="820">
        <v>1356468.86</v>
      </c>
      <c r="P8" s="818">
        <v>2867386</v>
      </c>
      <c r="Q8" s="820">
        <v>3743558</v>
      </c>
      <c r="R8" s="818">
        <v>1506241</v>
      </c>
      <c r="S8" s="820">
        <v>1806703</v>
      </c>
      <c r="T8" s="818"/>
      <c r="U8" s="820">
        <v>7224800</v>
      </c>
      <c r="V8" s="818">
        <v>1101522</v>
      </c>
      <c r="W8" s="820">
        <v>1171510</v>
      </c>
      <c r="X8" s="818">
        <v>2744204</v>
      </c>
      <c r="Y8" s="1293">
        <f t="shared" si="0"/>
        <v>57530751.86</v>
      </c>
      <c r="Z8" s="820">
        <v>150473779</v>
      </c>
      <c r="AA8" s="1293">
        <f t="shared" si="1"/>
        <v>208004530.86</v>
      </c>
    </row>
    <row r="9" spans="1:27" ht="14.25">
      <c r="A9" s="199" t="s">
        <v>329</v>
      </c>
      <c r="B9" s="821"/>
      <c r="C9" s="819"/>
      <c r="D9" s="822"/>
      <c r="E9" s="819"/>
      <c r="F9" s="819"/>
      <c r="G9" s="819"/>
      <c r="H9" s="819"/>
      <c r="I9" s="819"/>
      <c r="J9" s="819"/>
      <c r="K9" s="819"/>
      <c r="L9" s="819"/>
      <c r="M9" s="819"/>
      <c r="N9" s="819">
        <v>1297</v>
      </c>
      <c r="O9" s="820"/>
      <c r="P9" s="818"/>
      <c r="Q9" s="820"/>
      <c r="R9" s="818"/>
      <c r="S9" s="820"/>
      <c r="T9" s="818"/>
      <c r="U9" s="820">
        <v>33100</v>
      </c>
      <c r="V9" s="818"/>
      <c r="W9" s="820"/>
      <c r="X9" s="818"/>
      <c r="Y9" s="1293">
        <f t="shared" si="0"/>
        <v>34397</v>
      </c>
      <c r="Z9" s="820"/>
      <c r="AA9" s="1293">
        <f t="shared" si="1"/>
        <v>34397</v>
      </c>
    </row>
    <row r="10" spans="1:27" ht="14.25">
      <c r="A10" s="199" t="s">
        <v>330</v>
      </c>
      <c r="B10" s="823"/>
      <c r="C10" s="819"/>
      <c r="D10" s="824"/>
      <c r="E10" s="819"/>
      <c r="F10" s="819"/>
      <c r="G10" s="819"/>
      <c r="H10" s="819"/>
      <c r="I10" s="819"/>
      <c r="J10" s="819"/>
      <c r="K10" s="819"/>
      <c r="L10" s="819"/>
      <c r="M10" s="819">
        <v>6435</v>
      </c>
      <c r="N10" s="819"/>
      <c r="O10" s="820"/>
      <c r="P10" s="818"/>
      <c r="Q10" s="820"/>
      <c r="R10" s="818"/>
      <c r="S10" s="820"/>
      <c r="T10" s="818"/>
      <c r="U10" s="820">
        <v>488</v>
      </c>
      <c r="V10" s="818"/>
      <c r="W10" s="820"/>
      <c r="X10" s="818"/>
      <c r="Y10" s="1293">
        <f t="shared" si="0"/>
        <v>6923</v>
      </c>
      <c r="Z10" s="820"/>
      <c r="AA10" s="1293">
        <f t="shared" si="1"/>
        <v>6923</v>
      </c>
    </row>
    <row r="11" spans="1:27" ht="14.25">
      <c r="A11" s="199" t="s">
        <v>331</v>
      </c>
      <c r="B11" s="818"/>
      <c r="C11" s="819"/>
      <c r="D11" s="819"/>
      <c r="E11" s="819"/>
      <c r="F11" s="819"/>
      <c r="G11" s="819"/>
      <c r="H11" s="819"/>
      <c r="I11" s="819"/>
      <c r="J11" s="819"/>
      <c r="K11" s="819"/>
      <c r="L11" s="819"/>
      <c r="M11" s="819"/>
      <c r="N11" s="819"/>
      <c r="O11" s="820"/>
      <c r="P11" s="818"/>
      <c r="Q11" s="820"/>
      <c r="R11" s="818"/>
      <c r="S11" s="820"/>
      <c r="T11" s="818"/>
      <c r="U11" s="820"/>
      <c r="V11" s="818"/>
      <c r="W11" s="820"/>
      <c r="X11" s="818"/>
      <c r="Y11" s="1293">
        <f t="shared" si="0"/>
        <v>0</v>
      </c>
      <c r="Z11" s="820"/>
      <c r="AA11" s="1293">
        <f t="shared" si="1"/>
        <v>0</v>
      </c>
    </row>
    <row r="12" spans="1:27" ht="14.25">
      <c r="A12" s="199" t="s">
        <v>332</v>
      </c>
      <c r="B12" s="825"/>
      <c r="C12" s="819"/>
      <c r="D12" s="824"/>
      <c r="E12" s="819"/>
      <c r="F12" s="819"/>
      <c r="G12" s="819"/>
      <c r="H12" s="819"/>
      <c r="I12" s="819"/>
      <c r="J12" s="819"/>
      <c r="K12" s="819"/>
      <c r="L12" s="819"/>
      <c r="M12" s="819"/>
      <c r="N12" s="819"/>
      <c r="O12" s="820"/>
      <c r="P12" s="818"/>
      <c r="Q12" s="820"/>
      <c r="R12" s="818"/>
      <c r="S12" s="820"/>
      <c r="T12" s="818"/>
      <c r="U12" s="820"/>
      <c r="V12" s="818"/>
      <c r="W12" s="820"/>
      <c r="X12" s="818"/>
      <c r="Y12" s="1293">
        <f t="shared" si="0"/>
        <v>0</v>
      </c>
      <c r="Z12" s="820"/>
      <c r="AA12" s="1293">
        <f t="shared" si="1"/>
        <v>0</v>
      </c>
    </row>
    <row r="13" spans="1:27" ht="14.25">
      <c r="A13" s="199" t="s">
        <v>333</v>
      </c>
      <c r="B13" s="825"/>
      <c r="C13" s="819"/>
      <c r="D13" s="824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20"/>
      <c r="P13" s="818"/>
      <c r="Q13" s="820"/>
      <c r="R13" s="818"/>
      <c r="S13" s="820"/>
      <c r="T13" s="818"/>
      <c r="U13" s="820"/>
      <c r="V13" s="818"/>
      <c r="W13" s="820"/>
      <c r="X13" s="818"/>
      <c r="Y13" s="1293">
        <f t="shared" si="0"/>
        <v>0</v>
      </c>
      <c r="Z13" s="820">
        <v>1</v>
      </c>
      <c r="AA13" s="1293">
        <f t="shared" si="1"/>
        <v>1</v>
      </c>
    </row>
    <row r="14" spans="1:27" ht="14.25">
      <c r="A14" s="199" t="s">
        <v>78</v>
      </c>
      <c r="B14" s="825"/>
      <c r="C14" s="819"/>
      <c r="D14" s="824"/>
      <c r="E14" s="819"/>
      <c r="F14" s="819"/>
      <c r="G14" s="819"/>
      <c r="H14" s="819"/>
      <c r="I14" s="819"/>
      <c r="J14" s="819"/>
      <c r="K14" s="819"/>
      <c r="L14" s="819"/>
      <c r="M14" s="819"/>
      <c r="N14" s="819"/>
      <c r="O14" s="820"/>
      <c r="P14" s="818"/>
      <c r="Q14" s="820"/>
      <c r="R14" s="818"/>
      <c r="S14" s="820"/>
      <c r="T14" s="818"/>
      <c r="U14" s="820"/>
      <c r="V14" s="818"/>
      <c r="W14" s="820"/>
      <c r="X14" s="818"/>
      <c r="Y14" s="1293">
        <f t="shared" si="0"/>
        <v>0</v>
      </c>
      <c r="Z14" s="820">
        <f>207836626+2451059</f>
        <v>210287685</v>
      </c>
      <c r="AA14" s="1293">
        <f t="shared" si="1"/>
        <v>210287685</v>
      </c>
    </row>
    <row r="15" spans="1:27" s="141" customFormat="1" ht="14.25">
      <c r="A15" s="199" t="s">
        <v>334</v>
      </c>
      <c r="B15" s="826">
        <v>6440596</v>
      </c>
      <c r="C15" s="827">
        <v>471706</v>
      </c>
      <c r="D15" s="827">
        <v>969211</v>
      </c>
      <c r="E15" s="827">
        <v>7417203</v>
      </c>
      <c r="F15" s="827">
        <v>1210795</v>
      </c>
      <c r="G15" s="827">
        <v>2681199</v>
      </c>
      <c r="H15" s="827">
        <v>649956</v>
      </c>
      <c r="I15" s="827">
        <v>973959</v>
      </c>
      <c r="J15" s="827">
        <v>3095115</v>
      </c>
      <c r="K15" s="827">
        <v>1151945</v>
      </c>
      <c r="L15" s="827">
        <v>12398186</v>
      </c>
      <c r="M15" s="827">
        <v>6610406</v>
      </c>
      <c r="N15" s="827">
        <v>1365479</v>
      </c>
      <c r="O15" s="828">
        <v>1362178.9</v>
      </c>
      <c r="P15" s="1298">
        <v>4620031</v>
      </c>
      <c r="Q15" s="828">
        <v>4405018</v>
      </c>
      <c r="R15" s="1298">
        <v>2723771</v>
      </c>
      <c r="S15" s="828">
        <v>2849636</v>
      </c>
      <c r="T15" s="1298"/>
      <c r="U15" s="828">
        <f>SUM(U3:U14)</f>
        <v>24206309</v>
      </c>
      <c r="V15" s="1298">
        <f>V3+V8</f>
        <v>1464749</v>
      </c>
      <c r="W15" s="828">
        <v>1317692</v>
      </c>
      <c r="X15" s="1298">
        <v>4446871</v>
      </c>
      <c r="Y15" s="1293">
        <f t="shared" si="0"/>
        <v>92832011.9</v>
      </c>
      <c r="Z15" s="828">
        <v>421781258</v>
      </c>
      <c r="AA15" s="1293">
        <f t="shared" si="1"/>
        <v>514613269.9</v>
      </c>
    </row>
    <row r="16" spans="1:27" ht="14.25">
      <c r="A16" s="199" t="s">
        <v>335</v>
      </c>
      <c r="B16" s="825"/>
      <c r="C16" s="819"/>
      <c r="D16" s="824"/>
      <c r="E16" s="819"/>
      <c r="F16" s="819"/>
      <c r="G16" s="819"/>
      <c r="H16" s="819"/>
      <c r="I16" s="819"/>
      <c r="J16" s="819">
        <v>11</v>
      </c>
      <c r="K16" s="819"/>
      <c r="L16" s="819"/>
      <c r="M16" s="819">
        <v>1317</v>
      </c>
      <c r="N16" s="819"/>
      <c r="O16" s="820">
        <v>6066.94</v>
      </c>
      <c r="P16" s="818"/>
      <c r="Q16" s="820"/>
      <c r="R16" s="818"/>
      <c r="S16" s="820"/>
      <c r="T16" s="818"/>
      <c r="U16" s="820"/>
      <c r="V16" s="818"/>
      <c r="W16" s="820"/>
      <c r="X16" s="818"/>
      <c r="Y16" s="1293">
        <f t="shared" si="0"/>
        <v>7394.94</v>
      </c>
      <c r="Z16" s="820"/>
      <c r="AA16" s="1293">
        <f t="shared" si="1"/>
        <v>7394.94</v>
      </c>
    </row>
    <row r="17" spans="1:27" ht="14.25" hidden="1">
      <c r="A17" s="828"/>
      <c r="B17" s="818"/>
      <c r="C17" s="819"/>
      <c r="D17" s="819"/>
      <c r="E17" s="819"/>
      <c r="F17" s="819"/>
      <c r="G17" s="819"/>
      <c r="H17" s="819"/>
      <c r="I17" s="819"/>
      <c r="J17" s="819"/>
      <c r="K17" s="819"/>
      <c r="L17" s="819"/>
      <c r="M17" s="819"/>
      <c r="N17" s="819"/>
      <c r="O17" s="820"/>
      <c r="P17" s="818"/>
      <c r="Q17" s="820"/>
      <c r="R17" s="818"/>
      <c r="S17" s="820"/>
      <c r="T17" s="818"/>
      <c r="U17" s="820"/>
      <c r="V17" s="818"/>
      <c r="W17" s="820"/>
      <c r="X17" s="818"/>
      <c r="Y17" s="1293">
        <f t="shared" si="0"/>
        <v>0</v>
      </c>
      <c r="Z17" s="820"/>
      <c r="AA17" s="1293">
        <f t="shared" si="1"/>
        <v>0</v>
      </c>
    </row>
    <row r="18" spans="1:27" ht="14.25">
      <c r="A18" s="199" t="s">
        <v>182</v>
      </c>
      <c r="B18" s="818"/>
      <c r="C18" s="819"/>
      <c r="D18" s="819"/>
      <c r="E18" s="829"/>
      <c r="F18" s="819"/>
      <c r="G18" s="819"/>
      <c r="H18" s="819"/>
      <c r="I18" s="819"/>
      <c r="J18" s="819"/>
      <c r="K18" s="819"/>
      <c r="L18" s="819"/>
      <c r="M18" s="819"/>
      <c r="N18" s="819"/>
      <c r="O18" s="820"/>
      <c r="P18" s="818"/>
      <c r="Q18" s="820"/>
      <c r="R18" s="818"/>
      <c r="S18" s="820"/>
      <c r="T18" s="818"/>
      <c r="U18" s="820"/>
      <c r="V18" s="818"/>
      <c r="W18" s="820"/>
      <c r="X18" s="818"/>
      <c r="Y18" s="1293">
        <f t="shared" si="0"/>
        <v>0</v>
      </c>
      <c r="Z18" s="820"/>
      <c r="AA18" s="1293">
        <f t="shared" si="1"/>
        <v>0</v>
      </c>
    </row>
    <row r="19" spans="1:27" s="141" customFormat="1" ht="14.25">
      <c r="A19" s="199" t="s">
        <v>59</v>
      </c>
      <c r="B19" s="826">
        <v>6440596</v>
      </c>
      <c r="C19" s="827">
        <f>C15</f>
        <v>471706</v>
      </c>
      <c r="D19" s="827">
        <v>969211</v>
      </c>
      <c r="E19" s="827">
        <f>E15</f>
        <v>7417203</v>
      </c>
      <c r="F19" s="827">
        <f>F15</f>
        <v>1210795</v>
      </c>
      <c r="G19" s="827">
        <f>G15</f>
        <v>2681199</v>
      </c>
      <c r="H19" s="827">
        <v>649956</v>
      </c>
      <c r="I19" s="827">
        <v>973959</v>
      </c>
      <c r="J19" s="827">
        <v>3095115</v>
      </c>
      <c r="K19" s="827">
        <v>1151945</v>
      </c>
      <c r="L19" s="827">
        <v>12394637</v>
      </c>
      <c r="M19" s="827">
        <v>6602939</v>
      </c>
      <c r="N19" s="827">
        <v>1365479</v>
      </c>
      <c r="O19" s="828">
        <v>1362178.9</v>
      </c>
      <c r="P19" s="1298">
        <v>4620031</v>
      </c>
      <c r="Q19" s="828"/>
      <c r="R19" s="1298">
        <v>2723771</v>
      </c>
      <c r="S19" s="828">
        <v>2845113</v>
      </c>
      <c r="T19" s="1298"/>
      <c r="U19" s="828">
        <v>24174317</v>
      </c>
      <c r="V19" s="1298">
        <f>V15</f>
        <v>1464749</v>
      </c>
      <c r="W19" s="828">
        <v>1317692</v>
      </c>
      <c r="X19" s="1298">
        <f>X15</f>
        <v>4446871</v>
      </c>
      <c r="Y19" s="1293">
        <f t="shared" si="0"/>
        <v>88379462.9</v>
      </c>
      <c r="Z19" s="828"/>
      <c r="AA19" s="1293">
        <f t="shared" si="1"/>
        <v>88379462.9</v>
      </c>
    </row>
    <row r="20" spans="1:27" ht="14.25">
      <c r="A20" s="199" t="s">
        <v>60</v>
      </c>
      <c r="B20" s="821"/>
      <c r="C20" s="819"/>
      <c r="D20" s="822"/>
      <c r="E20" s="819"/>
      <c r="F20" s="819"/>
      <c r="G20" s="819"/>
      <c r="H20" s="819"/>
      <c r="I20" s="819"/>
      <c r="J20" s="819"/>
      <c r="K20" s="819"/>
      <c r="L20" s="819">
        <v>3549</v>
      </c>
      <c r="M20" s="819">
        <v>7467</v>
      </c>
      <c r="N20" s="819"/>
      <c r="O20" s="820"/>
      <c r="P20" s="818"/>
      <c r="Q20" s="820"/>
      <c r="R20" s="818"/>
      <c r="S20" s="820">
        <v>4523</v>
      </c>
      <c r="T20" s="818"/>
      <c r="U20" s="820">
        <v>31991</v>
      </c>
      <c r="V20" s="818"/>
      <c r="W20" s="820"/>
      <c r="X20" s="818"/>
      <c r="Y20" s="1293">
        <f t="shared" si="0"/>
        <v>47530</v>
      </c>
      <c r="Z20" s="820"/>
      <c r="AA20" s="1293">
        <f t="shared" si="1"/>
        <v>47530</v>
      </c>
    </row>
    <row r="21" spans="1:27" s="1043" customFormat="1" ht="14.25">
      <c r="A21" s="1146" t="s">
        <v>336</v>
      </c>
      <c r="B21" s="1147">
        <v>6440596</v>
      </c>
      <c r="C21" s="1148">
        <f>C15</f>
        <v>471706</v>
      </c>
      <c r="D21" s="827">
        <v>969211</v>
      </c>
      <c r="E21" s="1148">
        <f>E19</f>
        <v>7417203</v>
      </c>
      <c r="F21" s="1148">
        <f>F15</f>
        <v>1210795</v>
      </c>
      <c r="G21" s="1148">
        <f>G15</f>
        <v>2681199</v>
      </c>
      <c r="H21" s="1148">
        <v>649956</v>
      </c>
      <c r="I21" s="1148">
        <v>973959</v>
      </c>
      <c r="J21" s="1148">
        <v>3095115</v>
      </c>
      <c r="K21" s="1148">
        <v>1151945</v>
      </c>
      <c r="L21" s="1148">
        <v>12398186</v>
      </c>
      <c r="M21" s="1148">
        <v>6610406</v>
      </c>
      <c r="N21" s="1148">
        <v>1365479</v>
      </c>
      <c r="O21" s="1146">
        <v>1362178.9</v>
      </c>
      <c r="P21" s="1299">
        <v>4620031</v>
      </c>
      <c r="Q21" s="1146"/>
      <c r="R21" s="1299">
        <v>2723771</v>
      </c>
      <c r="S21" s="1146">
        <v>2849636</v>
      </c>
      <c r="T21" s="1299"/>
      <c r="U21" s="1302">
        <v>24206308</v>
      </c>
      <c r="V21" s="1299">
        <f>V15</f>
        <v>1464749</v>
      </c>
      <c r="W21" s="1146">
        <v>1317692</v>
      </c>
      <c r="X21" s="1299">
        <f>X15</f>
        <v>4446871</v>
      </c>
      <c r="Y21" s="1555">
        <f t="shared" si="0"/>
        <v>88426992.9</v>
      </c>
      <c r="Z21" s="1146"/>
      <c r="AA21" s="1555">
        <f t="shared" si="1"/>
        <v>88426992.9</v>
      </c>
    </row>
    <row r="22" spans="1:27" ht="14.25">
      <c r="A22" s="199" t="s">
        <v>337</v>
      </c>
      <c r="B22" s="818"/>
      <c r="C22" s="819"/>
      <c r="D22" s="819"/>
      <c r="E22" s="819"/>
      <c r="F22" s="819"/>
      <c r="G22" s="819"/>
      <c r="H22" s="819"/>
      <c r="I22" s="819"/>
      <c r="J22" s="819"/>
      <c r="K22" s="819"/>
      <c r="L22" s="819"/>
      <c r="M22" s="819"/>
      <c r="N22" s="819"/>
      <c r="O22" s="820"/>
      <c r="P22" s="818"/>
      <c r="Q22" s="820"/>
      <c r="R22" s="818"/>
      <c r="S22" s="820"/>
      <c r="T22" s="818"/>
      <c r="U22" s="820"/>
      <c r="V22" s="818"/>
      <c r="W22" s="820"/>
      <c r="X22" s="818"/>
      <c r="Y22" s="1293">
        <f t="shared" si="0"/>
        <v>0</v>
      </c>
      <c r="Z22" s="820"/>
      <c r="AA22" s="1293">
        <f t="shared" si="1"/>
        <v>0</v>
      </c>
    </row>
    <row r="23" spans="1:27" ht="14.25">
      <c r="A23" s="828" t="s">
        <v>0</v>
      </c>
      <c r="B23" s="813"/>
      <c r="C23" s="819"/>
      <c r="D23" s="819"/>
      <c r="E23" s="819"/>
      <c r="F23" s="819"/>
      <c r="G23" s="819"/>
      <c r="H23" s="819"/>
      <c r="I23" s="819"/>
      <c r="J23" s="819"/>
      <c r="K23" s="819"/>
      <c r="L23" s="819"/>
      <c r="M23" s="819"/>
      <c r="N23" s="819"/>
      <c r="O23" s="820"/>
      <c r="P23" s="818"/>
      <c r="Q23" s="820"/>
      <c r="R23" s="818"/>
      <c r="S23" s="820"/>
      <c r="T23" s="818"/>
      <c r="U23" s="820"/>
      <c r="V23" s="818"/>
      <c r="W23" s="820"/>
      <c r="X23" s="818"/>
      <c r="Y23" s="1293">
        <f t="shared" si="0"/>
        <v>0</v>
      </c>
      <c r="Z23" s="820"/>
      <c r="AA23" s="1293">
        <f t="shared" si="1"/>
        <v>0</v>
      </c>
    </row>
    <row r="24" spans="1:27" ht="14.25">
      <c r="A24" s="828" t="s">
        <v>338</v>
      </c>
      <c r="B24" s="823"/>
      <c r="C24" s="819"/>
      <c r="D24" s="830"/>
      <c r="E24" s="819"/>
      <c r="F24" s="819"/>
      <c r="G24" s="819"/>
      <c r="H24" s="819"/>
      <c r="I24" s="819"/>
      <c r="J24" s="819"/>
      <c r="K24" s="819"/>
      <c r="L24" s="819"/>
      <c r="M24" s="819"/>
      <c r="N24" s="819"/>
      <c r="O24" s="820"/>
      <c r="P24" s="818"/>
      <c r="Q24" s="820"/>
      <c r="R24" s="818"/>
      <c r="S24" s="820"/>
      <c r="T24" s="818"/>
      <c r="U24" s="820">
        <v>4</v>
      </c>
      <c r="V24" s="818"/>
      <c r="W24" s="820">
        <v>3965</v>
      </c>
      <c r="X24" s="818"/>
      <c r="Y24" s="1293">
        <f t="shared" si="0"/>
        <v>3969</v>
      </c>
      <c r="Z24" s="820"/>
      <c r="AA24" s="1293">
        <f t="shared" si="1"/>
        <v>3969</v>
      </c>
    </row>
    <row r="25" spans="1:27" ht="14.25">
      <c r="A25" s="828" t="s">
        <v>339</v>
      </c>
      <c r="B25" s="821"/>
      <c r="C25" s="819"/>
      <c r="D25" s="822"/>
      <c r="E25" s="819"/>
      <c r="F25" s="819"/>
      <c r="G25" s="819"/>
      <c r="H25" s="819"/>
      <c r="I25" s="819"/>
      <c r="J25" s="819"/>
      <c r="K25" s="819"/>
      <c r="L25" s="819"/>
      <c r="M25" s="819"/>
      <c r="N25" s="819"/>
      <c r="O25" s="820"/>
      <c r="P25" s="818"/>
      <c r="Q25" s="820"/>
      <c r="R25" s="818"/>
      <c r="S25" s="820"/>
      <c r="T25" s="818"/>
      <c r="U25" s="820">
        <v>262362</v>
      </c>
      <c r="V25" s="818"/>
      <c r="W25" s="820"/>
      <c r="X25" s="818"/>
      <c r="Y25" s="1293">
        <f t="shared" si="0"/>
        <v>262362</v>
      </c>
      <c r="Z25" s="820"/>
      <c r="AA25" s="1293">
        <f t="shared" si="1"/>
        <v>262362</v>
      </c>
    </row>
    <row r="26" spans="1:27" ht="14.25">
      <c r="A26" s="828" t="s">
        <v>340</v>
      </c>
      <c r="B26" s="821"/>
      <c r="C26" s="819"/>
      <c r="D26" s="822"/>
      <c r="E26" s="819"/>
      <c r="F26" s="819"/>
      <c r="G26" s="819"/>
      <c r="H26" s="819"/>
      <c r="I26" s="819"/>
      <c r="J26" s="819"/>
      <c r="K26" s="819"/>
      <c r="L26" s="819"/>
      <c r="M26" s="819"/>
      <c r="N26" s="819"/>
      <c r="O26" s="820"/>
      <c r="P26" s="818"/>
      <c r="Q26" s="820"/>
      <c r="R26" s="818"/>
      <c r="S26" s="820"/>
      <c r="T26" s="818"/>
      <c r="U26" s="820">
        <v>1414454</v>
      </c>
      <c r="V26" s="818"/>
      <c r="W26" s="820">
        <v>142217</v>
      </c>
      <c r="X26" s="818"/>
      <c r="Y26" s="1293">
        <f t="shared" si="0"/>
        <v>1556671</v>
      </c>
      <c r="Z26" s="820"/>
      <c r="AA26" s="1293">
        <f t="shared" si="1"/>
        <v>1556671</v>
      </c>
    </row>
    <row r="27" spans="1:27" ht="15" thickBot="1">
      <c r="A27" s="1149" t="s">
        <v>57</v>
      </c>
      <c r="B27" s="831"/>
      <c r="C27" s="832"/>
      <c r="D27" s="832"/>
      <c r="E27" s="832"/>
      <c r="F27" s="832"/>
      <c r="G27" s="832"/>
      <c r="H27" s="832"/>
      <c r="I27" s="832"/>
      <c r="J27" s="832"/>
      <c r="K27" s="832"/>
      <c r="L27" s="832"/>
      <c r="M27" s="832"/>
      <c r="N27" s="832"/>
      <c r="O27" s="833"/>
      <c r="P27" s="1300"/>
      <c r="Q27" s="833"/>
      <c r="R27" s="1300"/>
      <c r="S27" s="833"/>
      <c r="T27" s="1300"/>
      <c r="U27" s="833">
        <v>1676821</v>
      </c>
      <c r="V27" s="1300"/>
      <c r="W27" s="833">
        <v>146182</v>
      </c>
      <c r="X27" s="1300"/>
      <c r="Y27" s="1294">
        <f t="shared" si="0"/>
        <v>1823003</v>
      </c>
      <c r="Z27" s="833"/>
      <c r="AA27" s="1294">
        <f t="shared" si="1"/>
        <v>1823003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2"/>
  <sheetViews>
    <sheetView zoomScalePageLayoutView="0" workbookViewId="0" topLeftCell="A1">
      <pane xSplit="1" topLeftCell="P1" activePane="topRight" state="frozen"/>
      <selection pane="topLeft" activeCell="A1" sqref="A1"/>
      <selection pane="topRight" activeCell="Z16" sqref="Z16"/>
    </sheetView>
  </sheetViews>
  <sheetFormatPr defaultColWidth="9.140625" defaultRowHeight="15"/>
  <cols>
    <col min="1" max="1" width="51.28125" style="157" bestFit="1" customWidth="1"/>
    <col min="2" max="2" width="10.421875" style="157" bestFit="1" customWidth="1"/>
    <col min="3" max="3" width="13.8515625" style="157" bestFit="1" customWidth="1"/>
    <col min="4" max="4" width="10.7109375" style="157" bestFit="1" customWidth="1"/>
    <col min="5" max="5" width="10.57421875" style="157" bestFit="1" customWidth="1"/>
    <col min="6" max="6" width="10.421875" style="157" bestFit="1" customWidth="1"/>
    <col min="7" max="7" width="13.8515625" style="157" bestFit="1" customWidth="1"/>
    <col min="8" max="8" width="12.140625" style="157" bestFit="1" customWidth="1"/>
    <col min="9" max="10" width="10.421875" style="157" bestFit="1" customWidth="1"/>
    <col min="11" max="11" width="12.140625" style="157" bestFit="1" customWidth="1"/>
    <col min="12" max="12" width="10.421875" style="157" bestFit="1" customWidth="1"/>
    <col min="13" max="13" width="12.140625" style="157" bestFit="1" customWidth="1"/>
    <col min="14" max="15" width="10.421875" style="157" bestFit="1" customWidth="1"/>
    <col min="16" max="16" width="11.7109375" style="157" bestFit="1" customWidth="1"/>
    <col min="17" max="17" width="10.421875" style="157" bestFit="1" customWidth="1"/>
    <col min="18" max="18" width="11.00390625" style="157" bestFit="1" customWidth="1"/>
    <col min="19" max="22" width="10.421875" style="157" bestFit="1" customWidth="1"/>
    <col min="23" max="23" width="10.7109375" style="157" bestFit="1" customWidth="1"/>
    <col min="24" max="24" width="10.421875" style="157" bestFit="1" customWidth="1"/>
    <col min="25" max="25" width="11.57421875" style="157" bestFit="1" customWidth="1"/>
    <col min="26" max="26" width="12.8515625" style="157" bestFit="1" customWidth="1"/>
    <col min="27" max="27" width="11.57421875" style="157" bestFit="1" customWidth="1"/>
    <col min="28" max="16384" width="9.140625" style="157" customWidth="1"/>
  </cols>
  <sheetData>
    <row r="1" ht="17.25" thickBot="1">
      <c r="A1" s="913" t="s">
        <v>427</v>
      </c>
    </row>
    <row r="2" spans="1:27" s="919" customFormat="1" ht="75" customHeight="1" thickBot="1">
      <c r="A2" s="1778" t="s">
        <v>0</v>
      </c>
      <c r="B2" s="1309" t="s">
        <v>190</v>
      </c>
      <c r="C2" s="1015" t="s">
        <v>191</v>
      </c>
      <c r="D2" s="1015" t="s">
        <v>192</v>
      </c>
      <c r="E2" s="1015" t="s">
        <v>193</v>
      </c>
      <c r="F2" s="1015" t="s">
        <v>194</v>
      </c>
      <c r="G2" s="1015" t="s">
        <v>195</v>
      </c>
      <c r="H2" s="1015" t="s">
        <v>196</v>
      </c>
      <c r="I2" s="1015" t="s">
        <v>197</v>
      </c>
      <c r="J2" s="1015" t="s">
        <v>198</v>
      </c>
      <c r="K2" s="1015" t="s">
        <v>199</v>
      </c>
      <c r="L2" s="1015" t="s">
        <v>200</v>
      </c>
      <c r="M2" s="1015" t="s">
        <v>201</v>
      </c>
      <c r="N2" s="1015" t="s">
        <v>202</v>
      </c>
      <c r="O2" s="1015" t="s">
        <v>203</v>
      </c>
      <c r="P2" s="1015" t="s">
        <v>204</v>
      </c>
      <c r="Q2" s="1015" t="s">
        <v>205</v>
      </c>
      <c r="R2" s="1015" t="s">
        <v>206</v>
      </c>
      <c r="S2" s="1015" t="s">
        <v>207</v>
      </c>
      <c r="T2" s="1015" t="s">
        <v>208</v>
      </c>
      <c r="U2" s="1015" t="s">
        <v>209</v>
      </c>
      <c r="V2" s="1015" t="s">
        <v>210</v>
      </c>
      <c r="W2" s="1015" t="s">
        <v>211</v>
      </c>
      <c r="X2" s="1015" t="s">
        <v>212</v>
      </c>
      <c r="Y2" s="1237" t="s">
        <v>1</v>
      </c>
      <c r="Z2" s="1014" t="s">
        <v>213</v>
      </c>
      <c r="AA2" s="1237" t="s">
        <v>2</v>
      </c>
    </row>
    <row r="3" spans="1:27" s="1131" customFormat="1" ht="30.75" customHeight="1" thickBot="1">
      <c r="A3" s="1779"/>
      <c r="B3" s="1235" t="s">
        <v>420</v>
      </c>
      <c r="C3" s="1236" t="s">
        <v>420</v>
      </c>
      <c r="D3" s="1236" t="s">
        <v>420</v>
      </c>
      <c r="E3" s="1236" t="s">
        <v>420</v>
      </c>
      <c r="F3" s="1236" t="s">
        <v>420</v>
      </c>
      <c r="G3" s="1236" t="s">
        <v>420</v>
      </c>
      <c r="H3" s="1236" t="s">
        <v>420</v>
      </c>
      <c r="I3" s="1236" t="s">
        <v>420</v>
      </c>
      <c r="J3" s="1236" t="s">
        <v>420</v>
      </c>
      <c r="K3" s="1236" t="s">
        <v>420</v>
      </c>
      <c r="L3" s="1236" t="s">
        <v>420</v>
      </c>
      <c r="M3" s="1236" t="s">
        <v>420</v>
      </c>
      <c r="N3" s="1236" t="s">
        <v>420</v>
      </c>
      <c r="O3" s="1236" t="s">
        <v>420</v>
      </c>
      <c r="P3" s="1236" t="s">
        <v>420</v>
      </c>
      <c r="Q3" s="1236" t="s">
        <v>420</v>
      </c>
      <c r="R3" s="1236" t="s">
        <v>420</v>
      </c>
      <c r="S3" s="1236" t="s">
        <v>420</v>
      </c>
      <c r="T3" s="1236" t="s">
        <v>420</v>
      </c>
      <c r="U3" s="1236" t="s">
        <v>420</v>
      </c>
      <c r="V3" s="1236" t="s">
        <v>420</v>
      </c>
      <c r="W3" s="1236" t="s">
        <v>420</v>
      </c>
      <c r="X3" s="1236" t="s">
        <v>420</v>
      </c>
      <c r="Y3" s="1235" t="s">
        <v>420</v>
      </c>
      <c r="Z3" s="1314" t="s">
        <v>420</v>
      </c>
      <c r="AA3" s="1235" t="s">
        <v>420</v>
      </c>
    </row>
    <row r="4" spans="1:27" ht="16.5">
      <c r="A4" s="1152" t="s">
        <v>421</v>
      </c>
      <c r="B4" s="1310"/>
      <c r="C4" s="1311"/>
      <c r="D4" s="1311"/>
      <c r="E4" s="1311"/>
      <c r="F4" s="1311"/>
      <c r="G4" s="1311"/>
      <c r="H4" s="1311"/>
      <c r="I4" s="1311"/>
      <c r="J4" s="1311"/>
      <c r="K4" s="1311"/>
      <c r="L4" s="1311"/>
      <c r="M4" s="1311"/>
      <c r="N4" s="1311"/>
      <c r="O4" s="1311"/>
      <c r="P4" s="1311"/>
      <c r="Q4" s="1311"/>
      <c r="R4" s="1311"/>
      <c r="S4" s="1311"/>
      <c r="T4" s="1311"/>
      <c r="U4" s="1311"/>
      <c r="V4" s="1311"/>
      <c r="W4" s="1311"/>
      <c r="X4" s="1311"/>
      <c r="Y4" s="1310"/>
      <c r="Z4" s="1312"/>
      <c r="AA4" s="1313"/>
    </row>
    <row r="5" spans="1:27" ht="16.5">
      <c r="A5" s="1150" t="s">
        <v>422</v>
      </c>
      <c r="B5" s="926">
        <v>2378726</v>
      </c>
      <c r="C5" s="916">
        <v>90438</v>
      </c>
      <c r="D5" s="916">
        <v>345506</v>
      </c>
      <c r="E5" s="916">
        <v>1889037</v>
      </c>
      <c r="F5" s="916">
        <v>94169</v>
      </c>
      <c r="G5" s="916">
        <v>924823</v>
      </c>
      <c r="H5" s="916">
        <v>35190</v>
      </c>
      <c r="I5" s="916">
        <v>63905</v>
      </c>
      <c r="J5" s="916">
        <v>183487</v>
      </c>
      <c r="K5" s="916">
        <v>62236</v>
      </c>
      <c r="L5" s="916">
        <v>5428982</v>
      </c>
      <c r="M5" s="916">
        <v>9656457</v>
      </c>
      <c r="N5" s="916">
        <v>268263</v>
      </c>
      <c r="O5" s="916">
        <v>401414</v>
      </c>
      <c r="P5" s="916">
        <v>1332726</v>
      </c>
      <c r="Q5" s="916">
        <v>1782153</v>
      </c>
      <c r="R5" s="916">
        <v>634462</v>
      </c>
      <c r="S5" s="916">
        <v>575174</v>
      </c>
      <c r="T5" s="916"/>
      <c r="U5" s="916">
        <v>6230672</v>
      </c>
      <c r="V5" s="916">
        <v>53389</v>
      </c>
      <c r="W5" s="916">
        <v>255971</v>
      </c>
      <c r="X5" s="916">
        <v>972358</v>
      </c>
      <c r="Y5" s="926">
        <f>SUM(B5:X5)</f>
        <v>33659538</v>
      </c>
      <c r="Z5" s="924">
        <v>4364073</v>
      </c>
      <c r="AA5" s="926">
        <f>Y5+Z5</f>
        <v>38023611</v>
      </c>
    </row>
    <row r="6" spans="1:27" ht="16.5">
      <c r="A6" s="1150" t="s">
        <v>423</v>
      </c>
      <c r="B6" s="92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  <c r="R6" s="916"/>
      <c r="S6" s="916"/>
      <c r="T6" s="916"/>
      <c r="U6" s="916"/>
      <c r="V6" s="916"/>
      <c r="W6" s="916"/>
      <c r="X6" s="916"/>
      <c r="Y6" s="926">
        <f aca="true" t="shared" si="0" ref="Y6:Y22">SUM(B6:X6)</f>
        <v>0</v>
      </c>
      <c r="Z6" s="924"/>
      <c r="AA6" s="926">
        <f aca="true" t="shared" si="1" ref="AA6:AA22">Y6+Z6</f>
        <v>0</v>
      </c>
    </row>
    <row r="7" spans="1:27" ht="16.5">
      <c r="A7" s="1150" t="s">
        <v>424</v>
      </c>
      <c r="B7" s="926">
        <v>166482</v>
      </c>
      <c r="C7" s="916">
        <v>3813</v>
      </c>
      <c r="D7" s="916">
        <v>40298</v>
      </c>
      <c r="E7" s="916">
        <v>399640</v>
      </c>
      <c r="F7" s="916">
        <v>10786</v>
      </c>
      <c r="G7" s="916">
        <v>11448</v>
      </c>
      <c r="H7" s="916">
        <v>1398</v>
      </c>
      <c r="I7" s="916">
        <v>2526</v>
      </c>
      <c r="J7" s="916">
        <v>11990</v>
      </c>
      <c r="K7" s="916">
        <v>1668</v>
      </c>
      <c r="L7" s="916">
        <v>941292</v>
      </c>
      <c r="M7" s="916">
        <v>1425566</v>
      </c>
      <c r="N7" s="916">
        <v>8671</v>
      </c>
      <c r="O7" s="916">
        <v>20535</v>
      </c>
      <c r="P7" s="916">
        <v>81406</v>
      </c>
      <c r="Q7" s="916">
        <v>204038</v>
      </c>
      <c r="R7" s="916">
        <v>24748</v>
      </c>
      <c r="S7" s="916">
        <v>46098</v>
      </c>
      <c r="T7" s="916"/>
      <c r="U7" s="916">
        <v>781624</v>
      </c>
      <c r="V7" s="916">
        <v>1322</v>
      </c>
      <c r="W7" s="916">
        <v>12835</v>
      </c>
      <c r="X7" s="916">
        <v>87024</v>
      </c>
      <c r="Y7" s="926">
        <f t="shared" si="0"/>
        <v>4285208</v>
      </c>
      <c r="Z7" s="924">
        <v>2011165</v>
      </c>
      <c r="AA7" s="926">
        <f t="shared" si="1"/>
        <v>6296373</v>
      </c>
    </row>
    <row r="8" spans="1:27" ht="16.5">
      <c r="A8" s="1150" t="s">
        <v>425</v>
      </c>
      <c r="B8" s="926">
        <v>7030</v>
      </c>
      <c r="C8" s="918"/>
      <c r="D8" s="916"/>
      <c r="E8" s="916"/>
      <c r="F8" s="916"/>
      <c r="G8" s="916"/>
      <c r="H8" s="916"/>
      <c r="I8" s="916"/>
      <c r="J8" s="916"/>
      <c r="K8" s="916"/>
      <c r="L8" s="916"/>
      <c r="M8" s="916">
        <v>102757</v>
      </c>
      <c r="N8" s="916"/>
      <c r="O8" s="916">
        <v>2678</v>
      </c>
      <c r="P8" s="916"/>
      <c r="Q8" s="916"/>
      <c r="R8" s="916"/>
      <c r="S8" s="916">
        <v>2808</v>
      </c>
      <c r="T8" s="916"/>
      <c r="U8" s="916"/>
      <c r="V8" s="916"/>
      <c r="W8" s="916"/>
      <c r="X8" s="916">
        <v>6152</v>
      </c>
      <c r="Y8" s="926">
        <f t="shared" si="0"/>
        <v>121425</v>
      </c>
      <c r="Z8" s="924">
        <v>167285</v>
      </c>
      <c r="AA8" s="926">
        <f t="shared" si="1"/>
        <v>288710</v>
      </c>
    </row>
    <row r="9" spans="1:27" ht="16.5">
      <c r="A9" s="1150" t="s">
        <v>428</v>
      </c>
      <c r="B9" s="926"/>
      <c r="C9" s="918"/>
      <c r="D9" s="916"/>
      <c r="E9" s="916"/>
      <c r="F9" s="916"/>
      <c r="G9" s="916"/>
      <c r="H9" s="916"/>
      <c r="I9" s="916"/>
      <c r="J9" s="916"/>
      <c r="K9" s="916"/>
      <c r="L9" s="916"/>
      <c r="M9" s="916"/>
      <c r="N9" s="916"/>
      <c r="O9" s="916"/>
      <c r="P9" s="916"/>
      <c r="Q9" s="916"/>
      <c r="R9" s="916"/>
      <c r="S9" s="916"/>
      <c r="T9" s="916"/>
      <c r="U9" s="916"/>
      <c r="V9" s="916"/>
      <c r="W9" s="916"/>
      <c r="X9" s="916"/>
      <c r="Y9" s="926">
        <f t="shared" si="0"/>
        <v>0</v>
      </c>
      <c r="Z9" s="924"/>
      <c r="AA9" s="926">
        <f t="shared" si="1"/>
        <v>0</v>
      </c>
    </row>
    <row r="10" spans="1:27" ht="16.5">
      <c r="A10" s="1150" t="s">
        <v>429</v>
      </c>
      <c r="B10" s="926"/>
      <c r="C10" s="918"/>
      <c r="D10" s="916"/>
      <c r="E10" s="916"/>
      <c r="F10" s="916"/>
      <c r="G10" s="916"/>
      <c r="H10" s="916"/>
      <c r="I10" s="916"/>
      <c r="J10" s="916">
        <v>7200</v>
      </c>
      <c r="K10" s="916"/>
      <c r="L10" s="916"/>
      <c r="M10" s="916"/>
      <c r="N10" s="916"/>
      <c r="O10" s="916"/>
      <c r="P10" s="916"/>
      <c r="Q10" s="916"/>
      <c r="R10" s="916"/>
      <c r="S10" s="916"/>
      <c r="T10" s="916"/>
      <c r="U10" s="916"/>
      <c r="V10" s="916"/>
      <c r="W10" s="916"/>
      <c r="X10" s="916"/>
      <c r="Y10" s="926">
        <f t="shared" si="0"/>
        <v>7200</v>
      </c>
      <c r="Z10" s="924"/>
      <c r="AA10" s="926">
        <f t="shared" si="1"/>
        <v>7200</v>
      </c>
    </row>
    <row r="11" spans="1:27" ht="16.5">
      <c r="A11" s="1153" t="s">
        <v>426</v>
      </c>
      <c r="B11" s="926"/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  <c r="S11" s="916"/>
      <c r="T11" s="916"/>
      <c r="U11" s="916"/>
      <c r="V11" s="916"/>
      <c r="W11" s="916"/>
      <c r="X11" s="916"/>
      <c r="Y11" s="926">
        <f t="shared" si="0"/>
        <v>0</v>
      </c>
      <c r="Z11" s="924"/>
      <c r="AA11" s="926">
        <f t="shared" si="1"/>
        <v>0</v>
      </c>
    </row>
    <row r="12" spans="1:27" ht="16.5">
      <c r="A12" s="1150" t="s">
        <v>422</v>
      </c>
      <c r="B12" s="926">
        <v>886144</v>
      </c>
      <c r="C12" s="916">
        <v>124518</v>
      </c>
      <c r="D12" s="916">
        <v>471591</v>
      </c>
      <c r="E12" s="916">
        <v>1624535</v>
      </c>
      <c r="F12" s="916">
        <v>443395</v>
      </c>
      <c r="G12" s="916">
        <v>379459</v>
      </c>
      <c r="H12" s="916">
        <v>319517</v>
      </c>
      <c r="I12" s="916">
        <v>136924</v>
      </c>
      <c r="J12" s="916">
        <v>922463</v>
      </c>
      <c r="K12" s="916">
        <v>261477</v>
      </c>
      <c r="L12" s="916">
        <v>4023544</v>
      </c>
      <c r="M12" s="916">
        <v>3317744</v>
      </c>
      <c r="N12" s="916">
        <v>546118</v>
      </c>
      <c r="O12" s="916">
        <v>260921</v>
      </c>
      <c r="P12" s="916">
        <v>1233193</v>
      </c>
      <c r="Q12" s="916">
        <v>3788775</v>
      </c>
      <c r="R12" s="916">
        <v>1228911</v>
      </c>
      <c r="S12" s="916">
        <v>1238504</v>
      </c>
      <c r="T12" s="916"/>
      <c r="U12" s="916">
        <v>5520311</v>
      </c>
      <c r="V12" s="916">
        <v>324502</v>
      </c>
      <c r="W12" s="916">
        <v>444229</v>
      </c>
      <c r="X12" s="916">
        <v>1465294</v>
      </c>
      <c r="Y12" s="926">
        <f t="shared" si="0"/>
        <v>28962069</v>
      </c>
      <c r="Z12" s="924">
        <v>227128696</v>
      </c>
      <c r="AA12" s="926">
        <f t="shared" si="1"/>
        <v>256090765</v>
      </c>
    </row>
    <row r="13" spans="1:27" ht="16.5">
      <c r="A13" s="1150" t="s">
        <v>423</v>
      </c>
      <c r="B13" s="926">
        <v>15236</v>
      </c>
      <c r="C13" s="916">
        <v>30</v>
      </c>
      <c r="D13" s="916">
        <v>3927</v>
      </c>
      <c r="E13" s="916">
        <v>18421</v>
      </c>
      <c r="F13" s="916"/>
      <c r="G13" s="916">
        <v>11256</v>
      </c>
      <c r="H13" s="916"/>
      <c r="I13" s="916">
        <v>3130</v>
      </c>
      <c r="J13" s="916">
        <v>7562</v>
      </c>
      <c r="K13" s="916">
        <v>835</v>
      </c>
      <c r="L13" s="916">
        <v>498487</v>
      </c>
      <c r="M13" s="916">
        <v>341599</v>
      </c>
      <c r="N13" s="916"/>
      <c r="O13" s="916">
        <v>147</v>
      </c>
      <c r="P13" s="916">
        <v>17151</v>
      </c>
      <c r="Q13" s="916">
        <v>16386</v>
      </c>
      <c r="R13" s="916">
        <v>2899</v>
      </c>
      <c r="S13" s="916">
        <v>4163</v>
      </c>
      <c r="T13" s="916"/>
      <c r="U13" s="916">
        <v>287050</v>
      </c>
      <c r="V13" s="916">
        <v>631</v>
      </c>
      <c r="W13" s="916">
        <v>15853</v>
      </c>
      <c r="X13" s="916">
        <v>15791</v>
      </c>
      <c r="Y13" s="926">
        <f t="shared" si="0"/>
        <v>1260554</v>
      </c>
      <c r="Z13" s="924">
        <v>7194024</v>
      </c>
      <c r="AA13" s="926">
        <f t="shared" si="1"/>
        <v>8454578</v>
      </c>
    </row>
    <row r="14" spans="1:27" ht="16.5">
      <c r="A14" s="1150" t="s">
        <v>424</v>
      </c>
      <c r="B14" s="926">
        <v>218835</v>
      </c>
      <c r="C14" s="916">
        <v>267</v>
      </c>
      <c r="D14" s="916">
        <v>16043</v>
      </c>
      <c r="E14" s="916">
        <v>707241</v>
      </c>
      <c r="F14" s="916">
        <v>553</v>
      </c>
      <c r="G14" s="916">
        <v>54992</v>
      </c>
      <c r="H14" s="916"/>
      <c r="I14" s="916">
        <v>5988</v>
      </c>
      <c r="J14" s="916">
        <v>179751</v>
      </c>
      <c r="K14" s="916">
        <v>34052</v>
      </c>
      <c r="L14" s="916">
        <v>803451</v>
      </c>
      <c r="M14" s="916">
        <v>84537</v>
      </c>
      <c r="N14" s="916">
        <v>5566</v>
      </c>
      <c r="O14" s="916">
        <v>733507</v>
      </c>
      <c r="P14" s="916">
        <v>46250</v>
      </c>
      <c r="Q14" s="916">
        <v>7108</v>
      </c>
      <c r="R14" s="916">
        <v>14523</v>
      </c>
      <c r="S14" s="916">
        <v>11620</v>
      </c>
      <c r="T14" s="916"/>
      <c r="U14" s="916">
        <v>588508</v>
      </c>
      <c r="V14" s="916"/>
      <c r="W14" s="916">
        <v>45872</v>
      </c>
      <c r="X14" s="916">
        <v>62503</v>
      </c>
      <c r="Y14" s="926">
        <f t="shared" si="0"/>
        <v>3621167</v>
      </c>
      <c r="Z14" s="924">
        <v>41583270</v>
      </c>
      <c r="AA14" s="926">
        <f t="shared" si="1"/>
        <v>45204437</v>
      </c>
    </row>
    <row r="15" spans="1:27" ht="16.5">
      <c r="A15" s="1150" t="s">
        <v>425</v>
      </c>
      <c r="B15" s="926">
        <v>51</v>
      </c>
      <c r="C15" s="916">
        <v>211</v>
      </c>
      <c r="D15" s="916">
        <v>994</v>
      </c>
      <c r="E15" s="916">
        <v>1129</v>
      </c>
      <c r="F15" s="916">
        <v>1353</v>
      </c>
      <c r="G15" s="916">
        <v>82</v>
      </c>
      <c r="H15" s="916">
        <v>429</v>
      </c>
      <c r="I15" s="916">
        <v>402</v>
      </c>
      <c r="J15" s="916">
        <v>68</v>
      </c>
      <c r="K15" s="916">
        <v>737</v>
      </c>
      <c r="L15" s="916">
        <v>5456</v>
      </c>
      <c r="M15" s="916">
        <v>3217</v>
      </c>
      <c r="N15" s="916"/>
      <c r="O15" s="916">
        <v>296</v>
      </c>
      <c r="P15" s="916"/>
      <c r="Q15" s="916">
        <v>2084</v>
      </c>
      <c r="R15" s="916">
        <v>11691</v>
      </c>
      <c r="S15" s="916">
        <v>1516</v>
      </c>
      <c r="T15" s="916"/>
      <c r="U15" s="916">
        <v>182</v>
      </c>
      <c r="V15" s="916">
        <v>47.64</v>
      </c>
      <c r="W15" s="916">
        <v>5812</v>
      </c>
      <c r="X15" s="916">
        <v>2337</v>
      </c>
      <c r="Y15" s="926">
        <f t="shared" si="0"/>
        <v>38094.64</v>
      </c>
      <c r="Z15" s="924">
        <v>84228</v>
      </c>
      <c r="AA15" s="926">
        <f t="shared" si="1"/>
        <v>122322.64</v>
      </c>
    </row>
    <row r="16" spans="1:27" ht="17.25" thickBot="1">
      <c r="A16" s="1154" t="s">
        <v>428</v>
      </c>
      <c r="B16" s="1155">
        <v>244812</v>
      </c>
      <c r="C16" s="1151"/>
      <c r="D16" s="1151"/>
      <c r="E16" s="1151"/>
      <c r="F16" s="1151"/>
      <c r="G16" s="1151"/>
      <c r="H16" s="1151"/>
      <c r="I16" s="1151"/>
      <c r="J16" s="1151">
        <v>274</v>
      </c>
      <c r="K16" s="1151"/>
      <c r="L16" s="1151"/>
      <c r="M16" s="1151"/>
      <c r="N16" s="1151"/>
      <c r="O16" s="1151"/>
      <c r="P16" s="1151"/>
      <c r="Q16" s="1151"/>
      <c r="R16" s="1151"/>
      <c r="S16" s="1151"/>
      <c r="T16" s="1151"/>
      <c r="U16" s="1151"/>
      <c r="V16" s="1151"/>
      <c r="W16" s="1151"/>
      <c r="X16" s="1151"/>
      <c r="Y16" s="926">
        <f t="shared" si="0"/>
        <v>245086</v>
      </c>
      <c r="Z16" s="1307"/>
      <c r="AA16" s="926">
        <f t="shared" si="1"/>
        <v>245086</v>
      </c>
    </row>
    <row r="17" spans="1:27" ht="16.5">
      <c r="A17" s="1150" t="s">
        <v>429</v>
      </c>
      <c r="B17" s="926"/>
      <c r="C17" s="916"/>
      <c r="D17" s="916"/>
      <c r="E17" s="916"/>
      <c r="F17" s="916"/>
      <c r="G17" s="916"/>
      <c r="H17" s="916"/>
      <c r="I17" s="916"/>
      <c r="J17" s="916">
        <v>6067</v>
      </c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26">
        <f t="shared" si="0"/>
        <v>6067</v>
      </c>
      <c r="Z17" s="924"/>
      <c r="AA17" s="926">
        <f t="shared" si="1"/>
        <v>6067</v>
      </c>
    </row>
    <row r="18" spans="1:27" ht="16.5">
      <c r="A18" s="157" t="s">
        <v>430</v>
      </c>
      <c r="B18" s="926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26">
        <f t="shared" si="0"/>
        <v>0</v>
      </c>
      <c r="Z18" s="924"/>
      <c r="AA18" s="926">
        <f t="shared" si="1"/>
        <v>0</v>
      </c>
    </row>
    <row r="19" spans="1:27" ht="16.5">
      <c r="A19" s="1150" t="s">
        <v>422</v>
      </c>
      <c r="B19" s="926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>
        <v>9910</v>
      </c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26">
        <f t="shared" si="0"/>
        <v>9910</v>
      </c>
      <c r="Z19" s="924"/>
      <c r="AA19" s="926">
        <f t="shared" si="1"/>
        <v>9910</v>
      </c>
    </row>
    <row r="20" spans="1:27" ht="16.5">
      <c r="A20" s="1150" t="s">
        <v>423</v>
      </c>
      <c r="B20" s="926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26">
        <f t="shared" si="0"/>
        <v>0</v>
      </c>
      <c r="Z20" s="924"/>
      <c r="AA20" s="926">
        <f t="shared" si="1"/>
        <v>0</v>
      </c>
    </row>
    <row r="21" spans="1:27" ht="16.5">
      <c r="A21" s="1150" t="s">
        <v>424</v>
      </c>
      <c r="B21" s="926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>
        <v>7968</v>
      </c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26">
        <f t="shared" si="0"/>
        <v>7968</v>
      </c>
      <c r="Z21" s="924"/>
      <c r="AA21" s="926">
        <f t="shared" si="1"/>
        <v>7968</v>
      </c>
    </row>
    <row r="22" spans="1:27" ht="17.25" thickBot="1">
      <c r="A22" s="1150" t="s">
        <v>425</v>
      </c>
      <c r="B22" s="929"/>
      <c r="C22" s="917"/>
      <c r="D22" s="917"/>
      <c r="E22" s="917"/>
      <c r="F22" s="917"/>
      <c r="G22" s="917"/>
      <c r="H22" s="917"/>
      <c r="I22" s="917"/>
      <c r="J22" s="917"/>
      <c r="K22" s="917"/>
      <c r="L22" s="917"/>
      <c r="M22" s="917"/>
      <c r="N22" s="917"/>
      <c r="O22" s="917"/>
      <c r="P22" s="917"/>
      <c r="Q22" s="917"/>
      <c r="R22" s="917"/>
      <c r="S22" s="917"/>
      <c r="T22" s="917"/>
      <c r="U22" s="917"/>
      <c r="V22" s="917"/>
      <c r="W22" s="917"/>
      <c r="X22" s="917"/>
      <c r="Y22" s="929">
        <f t="shared" si="0"/>
        <v>0</v>
      </c>
      <c r="Z22" s="1308"/>
      <c r="AA22" s="929">
        <f t="shared" si="1"/>
        <v>0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6"/>
  <sheetViews>
    <sheetView zoomScalePageLayoutView="0" workbookViewId="0" topLeftCell="A1">
      <pane xSplit="1" topLeftCell="N1" activePane="topRight" state="frozen"/>
      <selection pane="topLeft" activeCell="A1" sqref="A1"/>
      <selection pane="topRight" activeCell="S17" sqref="S17"/>
    </sheetView>
  </sheetViews>
  <sheetFormatPr defaultColWidth="9.140625" defaultRowHeight="15"/>
  <cols>
    <col min="1" max="1" width="33.140625" style="15" bestFit="1" customWidth="1"/>
    <col min="2" max="2" width="11.421875" style="15" bestFit="1" customWidth="1"/>
    <col min="3" max="3" width="9.140625" style="15" bestFit="1" customWidth="1"/>
    <col min="4" max="5" width="11.00390625" style="15" bestFit="1" customWidth="1"/>
    <col min="6" max="8" width="9.140625" style="15" bestFit="1" customWidth="1"/>
    <col min="9" max="9" width="11.00390625" style="15" customWidth="1"/>
    <col min="10" max="10" width="9.140625" style="15" bestFit="1" customWidth="1"/>
    <col min="11" max="11" width="9.28125" style="15" bestFit="1" customWidth="1"/>
    <col min="12" max="12" width="10.00390625" style="15" bestFit="1" customWidth="1"/>
    <col min="13" max="13" width="11.421875" style="15" bestFit="1" customWidth="1"/>
    <col min="14" max="14" width="9.140625" style="15" bestFit="1" customWidth="1"/>
    <col min="15" max="15" width="9.28125" style="15" bestFit="1" customWidth="1"/>
    <col min="16" max="16" width="11.421875" style="15" bestFit="1" customWidth="1"/>
    <col min="17" max="17" width="10.00390625" style="15" bestFit="1" customWidth="1"/>
    <col min="18" max="19" width="9.140625" style="15" bestFit="1" customWidth="1"/>
    <col min="20" max="20" width="9.140625" style="15" customWidth="1"/>
    <col min="21" max="21" width="11.421875" style="15" customWidth="1"/>
    <col min="22" max="23" width="9.140625" style="15" bestFit="1" customWidth="1"/>
    <col min="24" max="24" width="9.28125" style="15" bestFit="1" customWidth="1"/>
    <col min="25" max="25" width="11.00390625" style="15" bestFit="1" customWidth="1"/>
    <col min="26" max="26" width="11.421875" style="15" customWidth="1"/>
    <col min="27" max="27" width="11.421875" style="15" bestFit="1" customWidth="1"/>
    <col min="28" max="28" width="9.57421875" style="15" bestFit="1" customWidth="1"/>
    <col min="29" max="16384" width="9.140625" style="15" customWidth="1"/>
  </cols>
  <sheetData>
    <row r="1" spans="1:27" ht="14.25">
      <c r="A1" s="1780" t="s">
        <v>114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  <c r="L1" s="1780"/>
      <c r="M1" s="1780"/>
      <c r="N1" s="1780"/>
      <c r="O1" s="1780"/>
      <c r="P1" s="1780"/>
      <c r="Q1" s="1780"/>
      <c r="R1" s="1780"/>
      <c r="S1" s="1780"/>
      <c r="T1" s="1780"/>
      <c r="U1" s="1780"/>
      <c r="V1" s="1780"/>
      <c r="W1" s="1780"/>
      <c r="X1" s="1780"/>
      <c r="Y1" s="1780"/>
      <c r="Z1" s="1780"/>
      <c r="AA1" s="1780"/>
    </row>
    <row r="2" spans="1:27" ht="15" thickBot="1">
      <c r="A2" s="1781" t="s">
        <v>292</v>
      </c>
      <c r="B2" s="1781"/>
      <c r="C2" s="1781"/>
      <c r="D2" s="1781"/>
      <c r="E2" s="1781"/>
      <c r="F2" s="1781"/>
      <c r="G2" s="1781"/>
      <c r="H2" s="1781"/>
      <c r="I2" s="1781"/>
      <c r="J2" s="1781"/>
      <c r="K2" s="1781"/>
      <c r="L2" s="1781"/>
      <c r="M2" s="1781"/>
      <c r="N2" s="1781"/>
      <c r="O2" s="1781"/>
      <c r="P2" s="1781"/>
      <c r="Q2" s="1781"/>
      <c r="R2" s="1781"/>
      <c r="S2" s="1781"/>
      <c r="T2" s="1781"/>
      <c r="U2" s="1781"/>
      <c r="V2" s="1781"/>
      <c r="W2" s="1781"/>
      <c r="X2" s="1781"/>
      <c r="Y2" s="1781"/>
      <c r="Z2" s="1781"/>
      <c r="AA2" s="1781"/>
    </row>
    <row r="3" spans="1:27" ht="122.25" thickBot="1">
      <c r="A3" s="1156" t="s">
        <v>115</v>
      </c>
      <c r="B3" s="734" t="s">
        <v>190</v>
      </c>
      <c r="C3" s="717" t="s">
        <v>191</v>
      </c>
      <c r="D3" s="717" t="s">
        <v>192</v>
      </c>
      <c r="E3" s="717" t="s">
        <v>193</v>
      </c>
      <c r="F3" s="717" t="s">
        <v>194</v>
      </c>
      <c r="G3" s="717" t="s">
        <v>195</v>
      </c>
      <c r="H3" s="717" t="s">
        <v>196</v>
      </c>
      <c r="I3" s="717" t="s">
        <v>197</v>
      </c>
      <c r="J3" s="717" t="s">
        <v>198</v>
      </c>
      <c r="K3" s="717" t="s">
        <v>199</v>
      </c>
      <c r="L3" s="717" t="s">
        <v>200</v>
      </c>
      <c r="M3" s="717" t="s">
        <v>201</v>
      </c>
      <c r="N3" s="717" t="s">
        <v>202</v>
      </c>
      <c r="O3" s="717" t="s">
        <v>203</v>
      </c>
      <c r="P3" s="723" t="s">
        <v>204</v>
      </c>
      <c r="Q3" s="717" t="s">
        <v>205</v>
      </c>
      <c r="R3" s="717" t="s">
        <v>206</v>
      </c>
      <c r="S3" s="717" t="s">
        <v>207</v>
      </c>
      <c r="T3" s="723" t="s">
        <v>208</v>
      </c>
      <c r="U3" s="717" t="s">
        <v>209</v>
      </c>
      <c r="V3" s="717" t="s">
        <v>210</v>
      </c>
      <c r="W3" s="706" t="s">
        <v>211</v>
      </c>
      <c r="X3" s="706" t="s">
        <v>212</v>
      </c>
      <c r="Y3" s="705" t="s">
        <v>1</v>
      </c>
      <c r="Z3" s="704" t="s">
        <v>213</v>
      </c>
      <c r="AA3" s="739" t="s">
        <v>2</v>
      </c>
    </row>
    <row r="4" spans="1:27" s="1162" customFormat="1" ht="54.75" thickBot="1">
      <c r="A4" s="1157"/>
      <c r="B4" s="1158" t="s">
        <v>289</v>
      </c>
      <c r="C4" s="1158" t="s">
        <v>289</v>
      </c>
      <c r="D4" s="1158" t="s">
        <v>289</v>
      </c>
      <c r="E4" s="1158" t="s">
        <v>289</v>
      </c>
      <c r="F4" s="1158" t="s">
        <v>289</v>
      </c>
      <c r="G4" s="1158" t="s">
        <v>289</v>
      </c>
      <c r="H4" s="1158" t="s">
        <v>289</v>
      </c>
      <c r="I4" s="1158" t="s">
        <v>289</v>
      </c>
      <c r="J4" s="1159" t="s">
        <v>289</v>
      </c>
      <c r="K4" s="1158" t="s">
        <v>289</v>
      </c>
      <c r="L4" s="1158" t="s">
        <v>289</v>
      </c>
      <c r="M4" s="1158" t="s">
        <v>289</v>
      </c>
      <c r="N4" s="1159" t="s">
        <v>289</v>
      </c>
      <c r="O4" s="1158" t="s">
        <v>289</v>
      </c>
      <c r="P4" s="1158" t="s">
        <v>289</v>
      </c>
      <c r="Q4" s="1158" t="s">
        <v>289</v>
      </c>
      <c r="R4" s="1158" t="s">
        <v>289</v>
      </c>
      <c r="S4" s="1159" t="s">
        <v>289</v>
      </c>
      <c r="T4" s="1158" t="s">
        <v>289</v>
      </c>
      <c r="U4" s="1158" t="s">
        <v>289</v>
      </c>
      <c r="V4" s="1158" t="s">
        <v>289</v>
      </c>
      <c r="W4" s="1160" t="s">
        <v>289</v>
      </c>
      <c r="X4" s="1158" t="s">
        <v>289</v>
      </c>
      <c r="Y4" s="1158" t="s">
        <v>289</v>
      </c>
      <c r="Z4" s="1158" t="s">
        <v>289</v>
      </c>
      <c r="AA4" s="1161" t="s">
        <v>289</v>
      </c>
    </row>
    <row r="5" spans="1:27" s="55" customFormat="1" ht="14.25">
      <c r="A5" s="330" t="s">
        <v>116</v>
      </c>
      <c r="B5" s="735">
        <v>3583194</v>
      </c>
      <c r="C5" s="727">
        <v>236362</v>
      </c>
      <c r="D5" s="727">
        <v>927494</v>
      </c>
      <c r="E5" s="727">
        <v>4724164897</v>
      </c>
      <c r="F5" s="727">
        <v>58328615</v>
      </c>
      <c r="G5" s="727">
        <v>1400288</v>
      </c>
      <c r="H5" s="727">
        <v>36175392</v>
      </c>
      <c r="I5" s="727">
        <v>216548.51</v>
      </c>
      <c r="J5" s="727">
        <v>1333012</v>
      </c>
      <c r="K5" s="727">
        <v>370724</v>
      </c>
      <c r="L5" s="727">
        <v>11763051</v>
      </c>
      <c r="M5" s="727">
        <v>1517199343</v>
      </c>
      <c r="N5" s="731">
        <v>854833</v>
      </c>
      <c r="O5" s="727">
        <v>1474737</v>
      </c>
      <c r="P5" s="727">
        <v>2904394</v>
      </c>
      <c r="Q5" s="727">
        <v>596651641</v>
      </c>
      <c r="R5" s="727">
        <v>1947677</v>
      </c>
      <c r="S5" s="727">
        <v>1906738</v>
      </c>
      <c r="T5" s="724">
        <v>1947677</v>
      </c>
      <c r="U5" s="722">
        <v>13428777.37</v>
      </c>
      <c r="V5" s="718">
        <v>379980</v>
      </c>
      <c r="W5" s="715">
        <v>809476</v>
      </c>
      <c r="X5" s="707">
        <v>2618622</v>
      </c>
      <c r="Y5" s="81">
        <f aca="true" t="shared" si="0" ref="Y5:Y11">SUM(B5+C5+D5+E5+F5+G5+H5+I5+J5+K5+L5+M5+N5+O5+P5+Q5+R5+S5+T5+U5+V5+W5+X5)</f>
        <v>6980623472.88</v>
      </c>
      <c r="Z5" s="713">
        <v>284794158</v>
      </c>
      <c r="AA5" s="740">
        <f aca="true" t="shared" si="1" ref="AA5:AA16">Y5+Z5</f>
        <v>7265417630.88</v>
      </c>
    </row>
    <row r="6" spans="1:27" s="55" customFormat="1" ht="14.25">
      <c r="A6" s="330" t="s">
        <v>117</v>
      </c>
      <c r="B6" s="736"/>
      <c r="C6" s="720"/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32"/>
      <c r="O6" s="720"/>
      <c r="P6" s="720"/>
      <c r="Q6" s="720"/>
      <c r="R6" s="720"/>
      <c r="S6" s="720"/>
      <c r="T6" s="725"/>
      <c r="U6" s="720"/>
      <c r="V6" s="719"/>
      <c r="W6" s="465"/>
      <c r="X6" s="708"/>
      <c r="Y6" s="711">
        <f t="shared" si="0"/>
        <v>0</v>
      </c>
      <c r="Z6" s="693"/>
      <c r="AA6" s="709">
        <f t="shared" si="1"/>
        <v>0</v>
      </c>
    </row>
    <row r="7" spans="1:27" s="55" customFormat="1" ht="14.25">
      <c r="A7" s="330" t="s">
        <v>118</v>
      </c>
      <c r="B7" s="737">
        <v>3569812</v>
      </c>
      <c r="C7" s="728">
        <v>219276</v>
      </c>
      <c r="D7" s="728">
        <v>878359</v>
      </c>
      <c r="E7" s="728">
        <v>4640003022</v>
      </c>
      <c r="F7" s="728">
        <v>55025560</v>
      </c>
      <c r="G7" s="728">
        <v>1382060</v>
      </c>
      <c r="H7" s="728">
        <v>35652417</v>
      </c>
      <c r="I7" s="728">
        <v>212877.9</v>
      </c>
      <c r="J7" s="728">
        <v>1318862</v>
      </c>
      <c r="K7" s="728">
        <v>361004</v>
      </c>
      <c r="L7" s="728">
        <v>-11701213</v>
      </c>
      <c r="M7" s="728">
        <v>1494975354</v>
      </c>
      <c r="N7" s="732">
        <v>828619</v>
      </c>
      <c r="O7" s="728">
        <v>1419498</v>
      </c>
      <c r="P7" s="730">
        <v>2710727</v>
      </c>
      <c r="Q7" s="728">
        <v>580054751</v>
      </c>
      <c r="R7" s="728">
        <v>1917234</v>
      </c>
      <c r="S7" s="728">
        <v>1879883</v>
      </c>
      <c r="T7" s="725">
        <v>1917234</v>
      </c>
      <c r="U7" s="722">
        <v>13408347.2</v>
      </c>
      <c r="V7" s="719">
        <v>379893</v>
      </c>
      <c r="W7" s="465">
        <v>780571</v>
      </c>
      <c r="X7" s="709">
        <v>2611458</v>
      </c>
      <c r="Y7" s="711">
        <f t="shared" si="0"/>
        <v>6829805606.099999</v>
      </c>
      <c r="Z7" s="711">
        <v>270612939</v>
      </c>
      <c r="AA7" s="709">
        <f t="shared" si="1"/>
        <v>7100418545.099999</v>
      </c>
    </row>
    <row r="8" spans="1:27" s="55" customFormat="1" ht="14.25">
      <c r="A8" s="330" t="s">
        <v>119</v>
      </c>
      <c r="B8" s="736"/>
      <c r="C8" s="720"/>
      <c r="D8" s="720">
        <v>45004</v>
      </c>
      <c r="E8" s="720"/>
      <c r="F8" s="720">
        <v>2153924</v>
      </c>
      <c r="G8" s="720"/>
      <c r="H8" s="720"/>
      <c r="I8" s="720"/>
      <c r="J8" s="720"/>
      <c r="K8" s="720"/>
      <c r="L8" s="720"/>
      <c r="M8" s="720">
        <v>11967385</v>
      </c>
      <c r="N8" s="720"/>
      <c r="O8" s="720">
        <v>47610</v>
      </c>
      <c r="P8" s="720">
        <v>168777</v>
      </c>
      <c r="Q8" s="720"/>
      <c r="R8" s="720">
        <v>472</v>
      </c>
      <c r="S8" s="720"/>
      <c r="T8" s="725">
        <v>472</v>
      </c>
      <c r="U8" s="440"/>
      <c r="V8" s="719"/>
      <c r="W8" s="465">
        <v>16019</v>
      </c>
      <c r="X8" s="708"/>
      <c r="Y8" s="711">
        <f t="shared" si="0"/>
        <v>14399663</v>
      </c>
      <c r="Z8" s="693">
        <v>14936</v>
      </c>
      <c r="AA8" s="709">
        <f t="shared" si="1"/>
        <v>14414599</v>
      </c>
    </row>
    <row r="9" spans="1:27" s="55" customFormat="1" ht="14.25">
      <c r="A9" s="703" t="s">
        <v>290</v>
      </c>
      <c r="B9" s="736">
        <v>13382</v>
      </c>
      <c r="C9" s="720">
        <v>17085</v>
      </c>
      <c r="D9" s="720"/>
      <c r="E9" s="720">
        <v>84161876</v>
      </c>
      <c r="F9" s="720">
        <v>1149132</v>
      </c>
      <c r="G9" s="720">
        <v>18229</v>
      </c>
      <c r="H9" s="720">
        <v>522975</v>
      </c>
      <c r="I9" s="720">
        <v>3670.6</v>
      </c>
      <c r="J9" s="720">
        <f>J5-J7</f>
        <v>14150</v>
      </c>
      <c r="K9" s="720">
        <v>9719</v>
      </c>
      <c r="L9" s="720">
        <v>61838</v>
      </c>
      <c r="M9" s="720">
        <v>10256604</v>
      </c>
      <c r="N9" s="720">
        <v>26214</v>
      </c>
      <c r="O9" s="720">
        <v>7629</v>
      </c>
      <c r="P9" s="720">
        <v>24890</v>
      </c>
      <c r="Q9" s="720">
        <v>16596891</v>
      </c>
      <c r="R9" s="720">
        <v>29971</v>
      </c>
      <c r="S9" s="720">
        <v>26854</v>
      </c>
      <c r="T9" s="725">
        <v>29971</v>
      </c>
      <c r="U9" s="722">
        <v>20430.17</v>
      </c>
      <c r="V9" s="719">
        <v>86.58</v>
      </c>
      <c r="W9" s="465">
        <v>12886</v>
      </c>
      <c r="X9" s="708">
        <v>7164</v>
      </c>
      <c r="Y9" s="711">
        <f t="shared" si="0"/>
        <v>113011647.35</v>
      </c>
      <c r="Z9" s="693">
        <v>14166283</v>
      </c>
      <c r="AA9" s="709">
        <f t="shared" si="1"/>
        <v>127177930.35</v>
      </c>
    </row>
    <row r="10" spans="1:27" s="55" customFormat="1" ht="14.25">
      <c r="A10" s="330" t="s">
        <v>120</v>
      </c>
      <c r="B10" s="736">
        <v>181946</v>
      </c>
      <c r="C10" s="720">
        <v>16756</v>
      </c>
      <c r="D10" s="720">
        <v>70820</v>
      </c>
      <c r="E10" s="720">
        <v>952284966</v>
      </c>
      <c r="F10" s="720">
        <v>4038661</v>
      </c>
      <c r="G10" s="720">
        <v>107901</v>
      </c>
      <c r="H10" s="720">
        <v>8172870</v>
      </c>
      <c r="I10" s="720">
        <v>19421.65</v>
      </c>
      <c r="J10" s="720">
        <v>101491</v>
      </c>
      <c r="K10" s="720">
        <v>16558</v>
      </c>
      <c r="L10" s="720">
        <v>565305</v>
      </c>
      <c r="M10" s="720">
        <v>88293816</v>
      </c>
      <c r="N10" s="732">
        <v>59715</v>
      </c>
      <c r="O10" s="720">
        <v>79997</v>
      </c>
      <c r="P10" s="720">
        <v>274536</v>
      </c>
      <c r="Q10" s="720">
        <v>56017115</v>
      </c>
      <c r="R10" s="720">
        <v>117553</v>
      </c>
      <c r="S10" s="720">
        <v>124798</v>
      </c>
      <c r="T10" s="725">
        <v>117553</v>
      </c>
      <c r="U10" s="722">
        <v>735995.34</v>
      </c>
      <c r="V10" s="719">
        <v>38521.44</v>
      </c>
      <c r="W10" s="465">
        <v>56187</v>
      </c>
      <c r="X10" s="708">
        <v>206956</v>
      </c>
      <c r="Y10" s="711">
        <f t="shared" si="0"/>
        <v>1111699438.43</v>
      </c>
      <c r="Z10" s="655">
        <v>10000</v>
      </c>
      <c r="AA10" s="709">
        <f t="shared" si="1"/>
        <v>1111709438.43</v>
      </c>
    </row>
    <row r="11" spans="1:27" s="55" customFormat="1" ht="14.25">
      <c r="A11" s="330" t="s">
        <v>117</v>
      </c>
      <c r="B11" s="736"/>
      <c r="C11" s="720"/>
      <c r="D11" s="720"/>
      <c r="E11" s="720"/>
      <c r="F11" s="720"/>
      <c r="G11" s="720"/>
      <c r="H11" s="720"/>
      <c r="I11" s="720"/>
      <c r="J11" s="720"/>
      <c r="K11" s="720"/>
      <c r="L11" s="720"/>
      <c r="M11" s="720"/>
      <c r="N11" s="732"/>
      <c r="O11" s="720"/>
      <c r="P11" s="720"/>
      <c r="Q11" s="720"/>
      <c r="R11" s="720"/>
      <c r="S11" s="720"/>
      <c r="T11" s="725"/>
      <c r="U11" s="440"/>
      <c r="V11" s="719"/>
      <c r="W11" s="465"/>
      <c r="X11" s="708"/>
      <c r="Y11" s="711">
        <f t="shared" si="0"/>
        <v>0</v>
      </c>
      <c r="Z11" s="655"/>
      <c r="AA11" s="709">
        <f t="shared" si="1"/>
        <v>0</v>
      </c>
    </row>
    <row r="12" spans="1:27" s="55" customFormat="1" ht="14.25">
      <c r="A12" s="330" t="s">
        <v>121</v>
      </c>
      <c r="B12" s="736"/>
      <c r="C12" s="720"/>
      <c r="D12" s="720">
        <v>156</v>
      </c>
      <c r="E12" s="720">
        <v>29468546</v>
      </c>
      <c r="F12" s="720">
        <v>1484792</v>
      </c>
      <c r="G12" s="720"/>
      <c r="H12" s="720"/>
      <c r="I12" s="720"/>
      <c r="J12" s="720"/>
      <c r="K12" s="720"/>
      <c r="L12" s="720"/>
      <c r="M12" s="720">
        <v>24673887</v>
      </c>
      <c r="N12" s="732"/>
      <c r="O12" s="720">
        <v>11521</v>
      </c>
      <c r="P12" s="720"/>
      <c r="Q12" s="720">
        <v>23398356</v>
      </c>
      <c r="R12" s="720"/>
      <c r="S12" s="648"/>
      <c r="T12" s="725"/>
      <c r="U12" s="440"/>
      <c r="V12" s="719"/>
      <c r="W12" s="465"/>
      <c r="X12" s="708"/>
      <c r="Y12" s="711">
        <f>SUM(B12+C12+D12+E12+F12+G12+H12+I12+J12+K12+L12+M12+N12+O12+P12+Q12+R12+S13+T12+U12+V12+W12+X12)</f>
        <v>79162056</v>
      </c>
      <c r="Z12" s="655"/>
      <c r="AA12" s="709">
        <f t="shared" si="1"/>
        <v>79162056</v>
      </c>
    </row>
    <row r="13" spans="1:27" s="55" customFormat="1" ht="14.25">
      <c r="A13" s="703" t="s">
        <v>291</v>
      </c>
      <c r="B13" s="736">
        <v>181946</v>
      </c>
      <c r="C13" s="720">
        <v>16756</v>
      </c>
      <c r="D13" s="720">
        <v>70664</v>
      </c>
      <c r="E13" s="720">
        <v>922816420</v>
      </c>
      <c r="F13" s="720">
        <v>2553869</v>
      </c>
      <c r="G13" s="720">
        <v>107901</v>
      </c>
      <c r="H13" s="720">
        <v>8172870</v>
      </c>
      <c r="I13" s="720">
        <v>19421.65</v>
      </c>
      <c r="J13" s="720">
        <v>101491</v>
      </c>
      <c r="K13" s="720">
        <v>16558</v>
      </c>
      <c r="L13" s="720">
        <v>565305</v>
      </c>
      <c r="M13" s="720">
        <v>63619929</v>
      </c>
      <c r="N13" s="732">
        <v>59715</v>
      </c>
      <c r="O13" s="720">
        <v>68477</v>
      </c>
      <c r="P13" s="720">
        <v>274536</v>
      </c>
      <c r="Q13" s="720">
        <v>32618759</v>
      </c>
      <c r="R13" s="720">
        <v>117553</v>
      </c>
      <c r="S13" s="720">
        <v>124798</v>
      </c>
      <c r="T13" s="725">
        <v>117553</v>
      </c>
      <c r="U13" s="722">
        <v>735995.34</v>
      </c>
      <c r="V13" s="719">
        <f>V10</f>
        <v>38521.44</v>
      </c>
      <c r="W13" s="465">
        <v>56187</v>
      </c>
      <c r="X13" s="708">
        <v>206956</v>
      </c>
      <c r="Y13" s="711">
        <f>SUM(B13+C13+D13+E13+F13+G13+H13+I13+J13+K13+L13+M13+N13+O13+P13+Q13+R13+S13+T13+U13+V13+W13+X13)</f>
        <v>1032662181.4300001</v>
      </c>
      <c r="Z13" s="693">
        <v>10000</v>
      </c>
      <c r="AA13" s="709">
        <f t="shared" si="1"/>
        <v>1032672181.4300001</v>
      </c>
    </row>
    <row r="14" spans="1:27" s="55" customFormat="1" ht="14.25">
      <c r="A14" s="330" t="s">
        <v>122</v>
      </c>
      <c r="B14" s="736">
        <v>195328</v>
      </c>
      <c r="C14" s="720">
        <v>33841</v>
      </c>
      <c r="D14" s="720">
        <v>74795</v>
      </c>
      <c r="E14" s="720">
        <v>1006978295</v>
      </c>
      <c r="F14" s="720">
        <v>3703001</v>
      </c>
      <c r="G14" s="720">
        <v>126130</v>
      </c>
      <c r="H14" s="720">
        <v>8695845</v>
      </c>
      <c r="I14" s="720">
        <v>23092.25</v>
      </c>
      <c r="J14" s="720">
        <f>J9+J13</f>
        <v>115641</v>
      </c>
      <c r="K14" s="720">
        <v>26278</v>
      </c>
      <c r="L14" s="720">
        <v>627143</v>
      </c>
      <c r="M14" s="720">
        <v>73876533</v>
      </c>
      <c r="N14" s="720">
        <v>85929</v>
      </c>
      <c r="O14" s="720">
        <v>76106</v>
      </c>
      <c r="P14" s="720">
        <v>299426</v>
      </c>
      <c r="Q14" s="720">
        <v>49215650</v>
      </c>
      <c r="R14" s="720">
        <v>147524</v>
      </c>
      <c r="S14" s="720">
        <v>151652</v>
      </c>
      <c r="T14" s="720">
        <v>147524</v>
      </c>
      <c r="U14" s="720">
        <v>756425.52</v>
      </c>
      <c r="V14" s="720">
        <v>38608.01</v>
      </c>
      <c r="W14" s="708">
        <f>W13+W9</f>
        <v>69073</v>
      </c>
      <c r="X14" s="708">
        <v>214120</v>
      </c>
      <c r="Y14" s="711">
        <f>SUM(B14+C14+D14+E14+F14+G14+H14+I14+J14+K14+L14+M14+N14+O14+P14+Q14+R14+S14+T14+U14+V14+W14+X14)</f>
        <v>1145677959.78</v>
      </c>
      <c r="Z14" s="655">
        <v>14176283</v>
      </c>
      <c r="AA14" s="709">
        <f t="shared" si="1"/>
        <v>1159854242.78</v>
      </c>
    </row>
    <row r="15" spans="1:27" s="55" customFormat="1" ht="15" thickBot="1">
      <c r="A15" s="330" t="s">
        <v>123</v>
      </c>
      <c r="B15" s="738">
        <v>91350</v>
      </c>
      <c r="C15" s="729">
        <v>13052</v>
      </c>
      <c r="D15" s="729">
        <v>25036</v>
      </c>
      <c r="E15" s="729">
        <v>125286079</v>
      </c>
      <c r="F15" s="729">
        <v>2167084</v>
      </c>
      <c r="G15" s="729">
        <v>32054</v>
      </c>
      <c r="H15" s="729">
        <v>1889631</v>
      </c>
      <c r="I15" s="729">
        <v>10069.83</v>
      </c>
      <c r="J15" s="729">
        <v>55598</v>
      </c>
      <c r="K15" s="729">
        <v>16262</v>
      </c>
      <c r="L15" s="729">
        <v>333344</v>
      </c>
      <c r="M15" s="729">
        <v>34377960</v>
      </c>
      <c r="N15" s="733">
        <v>25694</v>
      </c>
      <c r="O15" s="729">
        <v>43705</v>
      </c>
      <c r="P15" s="729">
        <v>99051</v>
      </c>
      <c r="Q15" s="729">
        <v>20302860</v>
      </c>
      <c r="R15" s="729">
        <v>74857</v>
      </c>
      <c r="S15" s="729">
        <v>58241</v>
      </c>
      <c r="T15" s="726">
        <v>74857</v>
      </c>
      <c r="U15" s="722">
        <v>355496.02</v>
      </c>
      <c r="V15" s="721">
        <v>21158.79</v>
      </c>
      <c r="W15" s="716">
        <v>27277</v>
      </c>
      <c r="X15" s="710">
        <v>79873</v>
      </c>
      <c r="Y15" s="712">
        <f>SUM(B15+C15+D15+E15+F15+G15+H15+I15+J15+K15+L15+M15+N15+O15+P15+Q15+R15+S15+T15+U15+V15+W15+X15)</f>
        <v>185460589.64</v>
      </c>
      <c r="Z15" s="714">
        <v>8857358</v>
      </c>
      <c r="AA15" s="741">
        <f t="shared" si="1"/>
        <v>194317947.64</v>
      </c>
    </row>
    <row r="16" spans="1:27" s="1171" customFormat="1" ht="15" thickBot="1">
      <c r="A16" s="1163" t="s">
        <v>124</v>
      </c>
      <c r="B16" s="1164">
        <v>2.14</v>
      </c>
      <c r="C16" s="1165">
        <v>2.59</v>
      </c>
      <c r="D16" s="1165">
        <v>2.99</v>
      </c>
      <c r="E16" s="1165">
        <v>8.04</v>
      </c>
      <c r="F16" s="1165">
        <v>1.71</v>
      </c>
      <c r="G16" s="1165">
        <v>3.93</v>
      </c>
      <c r="H16" s="1165">
        <v>4.6</v>
      </c>
      <c r="I16" s="1165">
        <v>2.29</v>
      </c>
      <c r="J16" s="1165">
        <v>2.08</v>
      </c>
      <c r="K16" s="1165">
        <v>1.62</v>
      </c>
      <c r="L16" s="1165">
        <v>1.88</v>
      </c>
      <c r="M16" s="1165">
        <v>2.15</v>
      </c>
      <c r="N16" s="1166">
        <v>3.34</v>
      </c>
      <c r="O16" s="1165">
        <v>1.74</v>
      </c>
      <c r="P16" s="1165">
        <v>3.02</v>
      </c>
      <c r="Q16" s="1165">
        <v>2.42</v>
      </c>
      <c r="R16" s="1165">
        <v>1.97</v>
      </c>
      <c r="S16" s="1165">
        <v>2.6</v>
      </c>
      <c r="T16" s="1167">
        <v>1.97</v>
      </c>
      <c r="U16" s="1165">
        <v>2.13</v>
      </c>
      <c r="V16" s="1168">
        <v>1.82</v>
      </c>
      <c r="W16" s="1169">
        <v>2.53</v>
      </c>
      <c r="X16" s="1163">
        <v>2.68</v>
      </c>
      <c r="Y16" s="1170">
        <f>SUM(B16+C16+D16+E16+F16+G16+H16+I16+J16+K16+L16+M16+N16+O16+P16+Q16+R16+S16+T16+U16+V16+W16+X16)</f>
        <v>62.24000000000001</v>
      </c>
      <c r="Z16" s="1170">
        <v>1.6</v>
      </c>
      <c r="AA16" s="1163">
        <f t="shared" si="1"/>
        <v>63.84000000000001</v>
      </c>
    </row>
  </sheetData>
  <sheetProtection/>
  <mergeCells count="2">
    <mergeCell ref="A1:AA1"/>
    <mergeCell ref="A2:AA2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DQ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J16" sqref="J16"/>
    </sheetView>
  </sheetViews>
  <sheetFormatPr defaultColWidth="9.140625" defaultRowHeight="15"/>
  <cols>
    <col min="1" max="1" width="43.8515625" style="15" customWidth="1"/>
    <col min="2" max="2" width="16.140625" style="15" customWidth="1"/>
    <col min="3" max="3" width="7.421875" style="15" customWidth="1"/>
    <col min="4" max="4" width="19.421875" style="15" customWidth="1"/>
    <col min="5" max="5" width="14.28125" style="15" customWidth="1"/>
    <col min="6" max="6" width="9.7109375" style="15" customWidth="1"/>
    <col min="7" max="7" width="18.421875" style="15" customWidth="1"/>
    <col min="8" max="8" width="5.57421875" style="15" bestFit="1" customWidth="1"/>
    <col min="9" max="9" width="21.7109375" style="15" bestFit="1" customWidth="1"/>
    <col min="10" max="10" width="15.57421875" style="15" bestFit="1" customWidth="1"/>
    <col min="11" max="11" width="9.28125" style="15" customWidth="1"/>
    <col min="12" max="12" width="16.28125" style="15" bestFit="1" customWidth="1"/>
    <col min="13" max="13" width="9.28125" style="15" customWidth="1"/>
    <col min="14" max="14" width="19.57421875" style="15" bestFit="1" customWidth="1"/>
    <col min="15" max="15" width="13.8515625" style="15" bestFit="1" customWidth="1"/>
    <col min="16" max="16" width="9.28125" style="15" customWidth="1"/>
    <col min="17" max="17" width="16.28125" style="15" bestFit="1" customWidth="1"/>
    <col min="18" max="18" width="9.28125" style="15" customWidth="1"/>
    <col min="19" max="19" width="19.57421875" style="15" bestFit="1" customWidth="1"/>
    <col min="20" max="20" width="13.8515625" style="15" bestFit="1" customWidth="1"/>
    <col min="21" max="21" width="9.28125" style="15" customWidth="1"/>
    <col min="22" max="22" width="16.28125" style="15" bestFit="1" customWidth="1"/>
    <col min="23" max="23" width="5.140625" style="15" bestFit="1" customWidth="1"/>
    <col min="24" max="24" width="19.57421875" style="15" bestFit="1" customWidth="1"/>
    <col min="25" max="25" width="13.8515625" style="15" bestFit="1" customWidth="1"/>
    <col min="26" max="26" width="9.28125" style="15" customWidth="1"/>
    <col min="27" max="27" width="16.28125" style="15" bestFit="1" customWidth="1"/>
    <col min="28" max="28" width="5.140625" style="15" bestFit="1" customWidth="1"/>
    <col min="29" max="29" width="19.57421875" style="15" bestFit="1" customWidth="1"/>
    <col min="30" max="30" width="13.8515625" style="15" bestFit="1" customWidth="1"/>
    <col min="31" max="31" width="9.28125" style="15" customWidth="1"/>
    <col min="32" max="32" width="16.28125" style="15" bestFit="1" customWidth="1"/>
    <col min="33" max="33" width="5.140625" style="15" bestFit="1" customWidth="1"/>
    <col min="34" max="34" width="19.57421875" style="15" bestFit="1" customWidth="1"/>
    <col min="35" max="35" width="13.8515625" style="15" bestFit="1" customWidth="1"/>
    <col min="36" max="36" width="10.140625" style="15" customWidth="1"/>
    <col min="37" max="37" width="15.57421875" style="15" customWidth="1"/>
    <col min="38" max="38" width="6.421875" style="15" customWidth="1"/>
    <col min="39" max="39" width="19.57421875" style="15" bestFit="1" customWidth="1"/>
    <col min="40" max="40" width="13.8515625" style="15" bestFit="1" customWidth="1"/>
    <col min="41" max="41" width="11.00390625" style="15" customWidth="1"/>
    <col min="42" max="42" width="16.28125" style="15" bestFit="1" customWidth="1"/>
    <col min="43" max="43" width="7.421875" style="15" customWidth="1"/>
    <col min="44" max="44" width="19.57421875" style="15" bestFit="1" customWidth="1"/>
    <col min="45" max="45" width="13.8515625" style="15" bestFit="1" customWidth="1"/>
    <col min="46" max="46" width="8.8515625" style="15" customWidth="1"/>
    <col min="47" max="47" width="16.28125" style="15" bestFit="1" customWidth="1"/>
    <col min="48" max="48" width="5.140625" style="15" bestFit="1" customWidth="1"/>
    <col min="49" max="49" width="19.57421875" style="15" bestFit="1" customWidth="1"/>
    <col min="50" max="50" width="12.7109375" style="15" customWidth="1"/>
    <col min="51" max="51" width="8.57421875" style="15" bestFit="1" customWidth="1"/>
    <col min="52" max="52" width="12.57421875" style="15" customWidth="1"/>
    <col min="53" max="53" width="5.8515625" style="15" bestFit="1" customWidth="1"/>
    <col min="54" max="54" width="16.140625" style="15" customWidth="1"/>
    <col min="55" max="55" width="13.8515625" style="15" bestFit="1" customWidth="1"/>
    <col min="56" max="56" width="9.28125" style="15" customWidth="1"/>
    <col min="57" max="57" width="16.28125" style="15" bestFit="1" customWidth="1"/>
    <col min="58" max="58" width="8.7109375" style="15" bestFit="1" customWidth="1"/>
    <col min="59" max="59" width="19.57421875" style="15" bestFit="1" customWidth="1"/>
    <col min="60" max="60" width="13.8515625" style="15" bestFit="1" customWidth="1"/>
    <col min="61" max="61" width="13.00390625" style="15" customWidth="1"/>
    <col min="62" max="62" width="16.28125" style="15" bestFit="1" customWidth="1"/>
    <col min="63" max="63" width="7.00390625" style="15" bestFit="1" customWidth="1"/>
    <col min="64" max="64" width="19.57421875" style="15" bestFit="1" customWidth="1"/>
    <col min="65" max="65" width="13.8515625" style="15" bestFit="1" customWidth="1"/>
    <col min="66" max="66" width="9.28125" style="15" customWidth="1"/>
    <col min="67" max="67" width="16.28125" style="15" bestFit="1" customWidth="1"/>
    <col min="68" max="68" width="9.28125" style="15" customWidth="1"/>
    <col min="69" max="69" width="19.57421875" style="15" bestFit="1" customWidth="1"/>
    <col min="70" max="70" width="13.8515625" style="15" bestFit="1" customWidth="1"/>
    <col min="71" max="71" width="11.140625" style="15" customWidth="1"/>
    <col min="72" max="72" width="16.28125" style="15" bestFit="1" customWidth="1"/>
    <col min="73" max="73" width="12.00390625" style="15" customWidth="1"/>
    <col min="74" max="74" width="19.57421875" style="15" bestFit="1" customWidth="1"/>
    <col min="75" max="75" width="13.8515625" style="15" bestFit="1" customWidth="1"/>
    <col min="76" max="76" width="12.00390625" style="15" customWidth="1"/>
    <col min="77" max="77" width="16.28125" style="15" bestFit="1" customWidth="1"/>
    <col min="78" max="78" width="9.28125" style="15" customWidth="1"/>
    <col min="79" max="79" width="19.57421875" style="15" bestFit="1" customWidth="1"/>
    <col min="80" max="80" width="13.8515625" style="15" bestFit="1" customWidth="1"/>
    <col min="81" max="81" width="9.28125" style="15" customWidth="1"/>
    <col min="82" max="82" width="16.28125" style="15" bestFit="1" customWidth="1"/>
    <col min="83" max="83" width="5.140625" style="15" bestFit="1" customWidth="1"/>
    <col min="84" max="84" width="19.57421875" style="15" bestFit="1" customWidth="1"/>
    <col min="85" max="85" width="13.8515625" style="15" bestFit="1" customWidth="1"/>
    <col min="86" max="86" width="10.57421875" style="15" customWidth="1"/>
    <col min="87" max="87" width="16.28125" style="15" bestFit="1" customWidth="1"/>
    <col min="88" max="88" width="5.140625" style="15" bestFit="1" customWidth="1"/>
    <col min="89" max="89" width="19.57421875" style="15" bestFit="1" customWidth="1"/>
    <col min="90" max="90" width="13.8515625" style="15" bestFit="1" customWidth="1"/>
    <col min="91" max="91" width="10.140625" style="15" customWidth="1"/>
    <col min="92" max="92" width="16.28125" style="15" bestFit="1" customWidth="1"/>
    <col min="93" max="93" width="5.140625" style="15" bestFit="1" customWidth="1"/>
    <col min="94" max="94" width="19.57421875" style="15" bestFit="1" customWidth="1"/>
    <col min="95" max="95" width="13.8515625" style="15" bestFit="1" customWidth="1"/>
    <col min="96" max="96" width="9.140625" style="15" customWidth="1"/>
    <col min="97" max="97" width="16.28125" style="15" bestFit="1" customWidth="1"/>
    <col min="98" max="98" width="6.7109375" style="15" bestFit="1" customWidth="1"/>
    <col min="99" max="99" width="19.57421875" style="15" bestFit="1" customWidth="1"/>
    <col min="100" max="100" width="13.8515625" style="15" bestFit="1" customWidth="1"/>
    <col min="101" max="101" width="11.421875" style="15" customWidth="1"/>
    <col min="102" max="102" width="16.28125" style="15" bestFit="1" customWidth="1"/>
    <col min="103" max="103" width="5.140625" style="15" bestFit="1" customWidth="1"/>
    <col min="104" max="104" width="19.57421875" style="15" bestFit="1" customWidth="1"/>
    <col min="105" max="105" width="13.8515625" style="15" bestFit="1" customWidth="1"/>
    <col min="106" max="106" width="9.28125" style="15" customWidth="1"/>
    <col min="107" max="107" width="16.28125" style="15" bestFit="1" customWidth="1"/>
    <col min="108" max="108" width="5.140625" style="15" bestFit="1" customWidth="1"/>
    <col min="109" max="109" width="19.57421875" style="15" bestFit="1" customWidth="1"/>
    <col min="110" max="110" width="13.8515625" style="15" bestFit="1" customWidth="1"/>
    <col min="111" max="111" width="9.28125" style="15" customWidth="1"/>
    <col min="112" max="112" width="16.28125" style="15" bestFit="1" customWidth="1"/>
    <col min="113" max="113" width="5.140625" style="15" bestFit="1" customWidth="1"/>
    <col min="114" max="114" width="19.57421875" style="15" bestFit="1" customWidth="1"/>
    <col min="115" max="115" width="13.8515625" style="15" bestFit="1" customWidth="1"/>
    <col min="116" max="116" width="9.28125" style="15" customWidth="1"/>
    <col min="117" max="117" width="16.28125" style="15" bestFit="1" customWidth="1"/>
    <col min="118" max="118" width="9.57421875" style="15" customWidth="1"/>
    <col min="119" max="119" width="19.57421875" style="15" bestFit="1" customWidth="1"/>
    <col min="120" max="120" width="13.8515625" style="15" bestFit="1" customWidth="1"/>
    <col min="121" max="121" width="9.57421875" style="15" customWidth="1"/>
    <col min="122" max="16384" width="9.140625" style="15" customWidth="1"/>
  </cols>
  <sheetData>
    <row r="1" spans="1:121" ht="14.25">
      <c r="A1" s="1780" t="s">
        <v>262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  <c r="L1" s="1780"/>
      <c r="M1" s="1780"/>
      <c r="N1" s="1780"/>
      <c r="O1" s="1780"/>
      <c r="P1" s="1780"/>
      <c r="Q1" s="1780"/>
      <c r="R1" s="1780"/>
      <c r="S1" s="1780"/>
      <c r="T1" s="1780"/>
      <c r="U1" s="1780"/>
      <c r="V1" s="1780"/>
      <c r="W1" s="1780"/>
      <c r="X1" s="1780"/>
      <c r="Y1" s="1780"/>
      <c r="Z1" s="1780"/>
      <c r="AA1" s="1780"/>
      <c r="AB1" s="1780"/>
      <c r="AC1" s="1780"/>
      <c r="AD1" s="1780"/>
      <c r="AE1" s="1780"/>
      <c r="AF1" s="1780"/>
      <c r="AG1" s="1780"/>
      <c r="AH1" s="1780"/>
      <c r="AI1" s="1780"/>
      <c r="AJ1" s="1780"/>
      <c r="AK1" s="1780"/>
      <c r="AL1" s="1780"/>
      <c r="AM1" s="1780"/>
      <c r="AN1" s="1780"/>
      <c r="AO1" s="1780"/>
      <c r="AP1" s="1780"/>
      <c r="AQ1" s="1780"/>
      <c r="AR1" s="1780"/>
      <c r="AS1" s="1780"/>
      <c r="AT1" s="1780"/>
      <c r="AU1" s="1780"/>
      <c r="AV1" s="1780"/>
      <c r="AW1" s="1780"/>
      <c r="AX1" s="1780"/>
      <c r="AY1" s="1780"/>
      <c r="AZ1" s="1780"/>
      <c r="BA1" s="1780"/>
      <c r="BB1" s="1780"/>
      <c r="BC1" s="1780"/>
      <c r="BD1" s="1780"/>
      <c r="BE1" s="1780"/>
      <c r="BF1" s="1780"/>
      <c r="BG1" s="1780"/>
      <c r="BH1" s="1780"/>
      <c r="BI1" s="1780"/>
      <c r="BJ1" s="1780"/>
      <c r="BK1" s="1780"/>
      <c r="BL1" s="1780"/>
      <c r="BM1" s="1780"/>
      <c r="BN1" s="1780"/>
      <c r="BO1" s="1780"/>
      <c r="BP1" s="1780"/>
      <c r="BQ1" s="1780"/>
      <c r="BR1" s="1780"/>
      <c r="BS1" s="1780"/>
      <c r="BT1" s="1780"/>
      <c r="BU1" s="1780"/>
      <c r="BV1" s="1780"/>
      <c r="BW1" s="1780"/>
      <c r="BX1" s="1780"/>
      <c r="BY1" s="1780"/>
      <c r="BZ1" s="1780"/>
      <c r="CA1" s="1780"/>
      <c r="CB1" s="1780"/>
      <c r="CC1" s="1780"/>
      <c r="CD1" s="1780"/>
      <c r="CE1" s="1780"/>
      <c r="CF1" s="1780"/>
      <c r="CG1" s="1780"/>
      <c r="CH1" s="1780"/>
      <c r="CI1" s="1780"/>
      <c r="CJ1" s="1780"/>
      <c r="CK1" s="1780"/>
      <c r="CL1" s="1780"/>
      <c r="CM1" s="1780"/>
      <c r="CN1" s="1780"/>
      <c r="CO1" s="1780"/>
      <c r="CP1" s="1780"/>
      <c r="CQ1" s="1780"/>
      <c r="CR1" s="1780"/>
      <c r="CS1" s="1780"/>
      <c r="CT1" s="1780"/>
      <c r="CU1" s="1780"/>
      <c r="CV1" s="1780"/>
      <c r="CW1" s="1780"/>
      <c r="CX1" s="1780"/>
      <c r="CY1" s="1780"/>
      <c r="CZ1" s="1780"/>
      <c r="DA1" s="1780"/>
      <c r="DB1" s="1780"/>
      <c r="DC1" s="1780"/>
      <c r="DD1" s="1780"/>
      <c r="DE1" s="1780"/>
      <c r="DF1" s="1780"/>
      <c r="DG1" s="1780"/>
      <c r="DH1" s="1780"/>
      <c r="DI1" s="1780"/>
      <c r="DJ1" s="1780"/>
      <c r="DK1" s="1780"/>
      <c r="DL1" s="1780"/>
      <c r="DM1" s="1780"/>
      <c r="DN1" s="1780"/>
      <c r="DO1" s="1780"/>
      <c r="DP1" s="1780"/>
      <c r="DQ1" s="1780"/>
    </row>
    <row r="2" spans="1:121" ht="15" thickBot="1">
      <c r="A2" s="1748"/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  <c r="O2" s="1748"/>
      <c r="P2" s="1748"/>
      <c r="Q2" s="1748"/>
      <c r="R2" s="1748"/>
      <c r="S2" s="1748"/>
      <c r="T2" s="1748"/>
      <c r="U2" s="1748"/>
      <c r="V2" s="1748"/>
      <c r="W2" s="1748"/>
      <c r="X2" s="1748"/>
      <c r="Y2" s="1748"/>
      <c r="Z2" s="1748"/>
      <c r="AA2" s="1748"/>
      <c r="AB2" s="1748"/>
      <c r="AC2" s="1748"/>
      <c r="AD2" s="1748"/>
      <c r="AE2" s="1748"/>
      <c r="AF2" s="1748"/>
      <c r="AG2" s="1748"/>
      <c r="AH2" s="1748"/>
      <c r="AI2" s="1748"/>
      <c r="AJ2" s="1748"/>
      <c r="AK2" s="1748"/>
      <c r="AL2" s="1748"/>
      <c r="AM2" s="1748"/>
      <c r="AN2" s="1748"/>
      <c r="AO2" s="1748"/>
      <c r="AP2" s="1748"/>
      <c r="AQ2" s="1748"/>
      <c r="AR2" s="1748"/>
      <c r="AS2" s="1748"/>
      <c r="AT2" s="1748"/>
      <c r="AU2" s="1748"/>
      <c r="AV2" s="1748"/>
      <c r="AW2" s="1748"/>
      <c r="AX2" s="1748"/>
      <c r="AY2" s="1748"/>
      <c r="AZ2" s="1748"/>
      <c r="BA2" s="1748"/>
      <c r="BB2" s="1748"/>
      <c r="BC2" s="1748"/>
      <c r="BD2" s="1748"/>
      <c r="BE2" s="1748"/>
      <c r="BF2" s="1748"/>
      <c r="BG2" s="1748"/>
      <c r="BH2" s="1748"/>
      <c r="BI2" s="1748"/>
      <c r="BJ2" s="1748"/>
      <c r="BK2" s="1748"/>
      <c r="BL2" s="1748"/>
      <c r="BM2" s="1748"/>
      <c r="BN2" s="1748"/>
      <c r="BO2" s="1748"/>
      <c r="BP2" s="1748"/>
      <c r="BQ2" s="1748"/>
      <c r="BR2" s="1748"/>
      <c r="BS2" s="1748"/>
      <c r="BT2" s="1748"/>
      <c r="BU2" s="1748"/>
      <c r="BV2" s="1748"/>
      <c r="BW2" s="1748"/>
      <c r="BX2" s="1748"/>
      <c r="BY2" s="1748"/>
      <c r="BZ2" s="1748"/>
      <c r="CA2" s="1748"/>
      <c r="CB2" s="1748"/>
      <c r="CC2" s="1748"/>
      <c r="CD2" s="1748"/>
      <c r="CE2" s="1748"/>
      <c r="CF2" s="1748"/>
      <c r="CG2" s="1748"/>
      <c r="CH2" s="1748"/>
      <c r="CI2" s="1748"/>
      <c r="CJ2" s="1748"/>
      <c r="CK2" s="1748"/>
      <c r="CL2" s="1748"/>
      <c r="CM2" s="1748"/>
      <c r="CN2" s="1748"/>
      <c r="CO2" s="1748"/>
      <c r="CP2" s="1748"/>
      <c r="CQ2" s="1748"/>
      <c r="CR2" s="1748"/>
      <c r="CS2" s="1748"/>
      <c r="CT2" s="1748"/>
      <c r="CU2" s="1748"/>
      <c r="CV2" s="1748"/>
      <c r="CW2" s="1748"/>
      <c r="CX2" s="1748"/>
      <c r="CY2" s="1748"/>
      <c r="CZ2" s="1748"/>
      <c r="DA2" s="1748"/>
      <c r="DB2" s="1748"/>
      <c r="DC2" s="1748"/>
      <c r="DD2" s="1748"/>
      <c r="DE2" s="1748"/>
      <c r="DF2" s="1748"/>
      <c r="DG2" s="1748"/>
      <c r="DH2" s="1748"/>
      <c r="DI2" s="1748"/>
      <c r="DJ2" s="1748"/>
      <c r="DK2" s="1748"/>
      <c r="DL2" s="1748"/>
      <c r="DM2" s="1748"/>
      <c r="DN2" s="1748"/>
      <c r="DO2" s="1748"/>
      <c r="DP2" s="1748"/>
      <c r="DQ2" s="1748"/>
    </row>
    <row r="3" spans="1:121" ht="27.75" customHeight="1" thickBot="1">
      <c r="A3" s="1794" t="s">
        <v>0</v>
      </c>
      <c r="B3" s="1796" t="s">
        <v>256</v>
      </c>
      <c r="C3" s="1797"/>
      <c r="D3" s="1797"/>
      <c r="E3" s="1797"/>
      <c r="F3" s="1798"/>
      <c r="G3" s="1799" t="s">
        <v>191</v>
      </c>
      <c r="H3" s="1800"/>
      <c r="I3" s="1800"/>
      <c r="J3" s="1800"/>
      <c r="K3" s="1801"/>
      <c r="L3" s="1783" t="s">
        <v>192</v>
      </c>
      <c r="M3" s="1783"/>
      <c r="N3" s="1783"/>
      <c r="O3" s="1783"/>
      <c r="P3" s="1784"/>
      <c r="Q3" s="1782" t="s">
        <v>255</v>
      </c>
      <c r="R3" s="1783"/>
      <c r="S3" s="1783"/>
      <c r="T3" s="1783"/>
      <c r="U3" s="1784"/>
      <c r="V3" s="1785" t="s">
        <v>254</v>
      </c>
      <c r="W3" s="1786"/>
      <c r="X3" s="1786"/>
      <c r="Y3" s="1786"/>
      <c r="Z3" s="1787"/>
      <c r="AA3" s="1782" t="s">
        <v>253</v>
      </c>
      <c r="AB3" s="1783"/>
      <c r="AC3" s="1783"/>
      <c r="AD3" s="1783"/>
      <c r="AE3" s="1784"/>
      <c r="AF3" s="1782" t="s">
        <v>252</v>
      </c>
      <c r="AG3" s="1783"/>
      <c r="AH3" s="1783"/>
      <c r="AI3" s="1783"/>
      <c r="AJ3" s="1784"/>
      <c r="AK3" s="1782" t="s">
        <v>263</v>
      </c>
      <c r="AL3" s="1783"/>
      <c r="AM3" s="1783"/>
      <c r="AN3" s="1783"/>
      <c r="AO3" s="1784"/>
      <c r="AP3" s="1782" t="s">
        <v>251</v>
      </c>
      <c r="AQ3" s="1783"/>
      <c r="AR3" s="1783"/>
      <c r="AS3" s="1783"/>
      <c r="AT3" s="1784"/>
      <c r="AU3" s="1805" t="s">
        <v>250</v>
      </c>
      <c r="AV3" s="1806"/>
      <c r="AW3" s="1806"/>
      <c r="AX3" s="1806"/>
      <c r="AY3" s="1807"/>
      <c r="AZ3" s="1808" t="s">
        <v>249</v>
      </c>
      <c r="BA3" s="1806"/>
      <c r="BB3" s="1806"/>
      <c r="BC3" s="1806"/>
      <c r="BD3" s="1807"/>
      <c r="BE3" s="1791" t="s">
        <v>248</v>
      </c>
      <c r="BF3" s="1792"/>
      <c r="BG3" s="1792"/>
      <c r="BH3" s="1792"/>
      <c r="BI3" s="1793"/>
      <c r="BJ3" s="1791" t="s">
        <v>224</v>
      </c>
      <c r="BK3" s="1792"/>
      <c r="BL3" s="1792"/>
      <c r="BM3" s="1792"/>
      <c r="BN3" s="1793"/>
      <c r="BO3" s="1805" t="s">
        <v>247</v>
      </c>
      <c r="BP3" s="1806"/>
      <c r="BQ3" s="1806"/>
      <c r="BR3" s="1806"/>
      <c r="BS3" s="1807"/>
      <c r="BT3" s="1788" t="s">
        <v>246</v>
      </c>
      <c r="BU3" s="1789"/>
      <c r="BV3" s="1789"/>
      <c r="BW3" s="1789"/>
      <c r="BX3" s="1790"/>
      <c r="BY3" s="1808" t="s">
        <v>245</v>
      </c>
      <c r="BZ3" s="1806"/>
      <c r="CA3" s="1806"/>
      <c r="CB3" s="1806"/>
      <c r="CC3" s="1807"/>
      <c r="CD3" s="1808" t="s">
        <v>244</v>
      </c>
      <c r="CE3" s="1806"/>
      <c r="CF3" s="1806"/>
      <c r="CG3" s="1806"/>
      <c r="CH3" s="1807"/>
      <c r="CI3" s="1805" t="s">
        <v>243</v>
      </c>
      <c r="CJ3" s="1806"/>
      <c r="CK3" s="1806"/>
      <c r="CL3" s="1806"/>
      <c r="CM3" s="1807"/>
      <c r="CN3" s="1788" t="s">
        <v>208</v>
      </c>
      <c r="CO3" s="1789"/>
      <c r="CP3" s="1789"/>
      <c r="CQ3" s="1789"/>
      <c r="CR3" s="1790"/>
      <c r="CS3" s="1800" t="s">
        <v>240</v>
      </c>
      <c r="CT3" s="1800"/>
      <c r="CU3" s="1800"/>
      <c r="CV3" s="1800"/>
      <c r="CW3" s="1801"/>
      <c r="CX3" s="1782" t="s">
        <v>241</v>
      </c>
      <c r="CY3" s="1783"/>
      <c r="CZ3" s="1783"/>
      <c r="DA3" s="1783"/>
      <c r="DB3" s="1784"/>
      <c r="DC3" s="1782" t="s">
        <v>242</v>
      </c>
      <c r="DD3" s="1783"/>
      <c r="DE3" s="1783"/>
      <c r="DF3" s="1783"/>
      <c r="DG3" s="1783"/>
      <c r="DH3" s="1782" t="s">
        <v>212</v>
      </c>
      <c r="DI3" s="1783"/>
      <c r="DJ3" s="1783"/>
      <c r="DK3" s="1783"/>
      <c r="DL3" s="1784"/>
      <c r="DM3" s="1802" t="s">
        <v>213</v>
      </c>
      <c r="DN3" s="1803"/>
      <c r="DO3" s="1803"/>
      <c r="DP3" s="1803"/>
      <c r="DQ3" s="1804"/>
    </row>
    <row r="4" spans="1:121" s="1143" customFormat="1" ht="15" thickBot="1">
      <c r="A4" s="1795"/>
      <c r="B4" s="1172" t="s">
        <v>215</v>
      </c>
      <c r="C4" s="1173" t="s">
        <v>181</v>
      </c>
      <c r="D4" s="1173" t="s">
        <v>216</v>
      </c>
      <c r="E4" s="1173" t="s">
        <v>217</v>
      </c>
      <c r="F4" s="1174" t="s">
        <v>218</v>
      </c>
      <c r="G4" s="1621" t="s">
        <v>215</v>
      </c>
      <c r="H4" s="1622" t="s">
        <v>181</v>
      </c>
      <c r="I4" s="1622" t="s">
        <v>216</v>
      </c>
      <c r="J4" s="1622" t="s">
        <v>217</v>
      </c>
      <c r="K4" s="1623" t="s">
        <v>218</v>
      </c>
      <c r="L4" s="1106" t="s">
        <v>215</v>
      </c>
      <c r="M4" s="1106" t="s">
        <v>181</v>
      </c>
      <c r="N4" s="1106" t="s">
        <v>216</v>
      </c>
      <c r="O4" s="1106" t="s">
        <v>217</v>
      </c>
      <c r="P4" s="1016" t="s">
        <v>218</v>
      </c>
      <c r="Q4" s="1105" t="s">
        <v>215</v>
      </c>
      <c r="R4" s="1106" t="s">
        <v>181</v>
      </c>
      <c r="S4" s="1106" t="s">
        <v>216</v>
      </c>
      <c r="T4" s="1106" t="s">
        <v>217</v>
      </c>
      <c r="U4" s="1016" t="s">
        <v>218</v>
      </c>
      <c r="V4" s="1105" t="s">
        <v>215</v>
      </c>
      <c r="W4" s="1106" t="s">
        <v>181</v>
      </c>
      <c r="X4" s="1106" t="s">
        <v>216</v>
      </c>
      <c r="Y4" s="1106" t="s">
        <v>217</v>
      </c>
      <c r="Z4" s="1016" t="s">
        <v>218</v>
      </c>
      <c r="AA4" s="1105" t="s">
        <v>215</v>
      </c>
      <c r="AB4" s="1106" t="s">
        <v>181</v>
      </c>
      <c r="AC4" s="1106" t="s">
        <v>216</v>
      </c>
      <c r="AD4" s="1106" t="s">
        <v>217</v>
      </c>
      <c r="AE4" s="1016" t="s">
        <v>218</v>
      </c>
      <c r="AF4" s="1105" t="s">
        <v>215</v>
      </c>
      <c r="AG4" s="1106" t="s">
        <v>181</v>
      </c>
      <c r="AH4" s="1106" t="s">
        <v>216</v>
      </c>
      <c r="AI4" s="1106" t="s">
        <v>217</v>
      </c>
      <c r="AJ4" s="1016" t="s">
        <v>218</v>
      </c>
      <c r="AK4" s="1105" t="s">
        <v>215</v>
      </c>
      <c r="AL4" s="1106" t="s">
        <v>181</v>
      </c>
      <c r="AM4" s="1106" t="s">
        <v>216</v>
      </c>
      <c r="AN4" s="1106" t="s">
        <v>217</v>
      </c>
      <c r="AO4" s="1016" t="s">
        <v>218</v>
      </c>
      <c r="AP4" s="1105" t="s">
        <v>215</v>
      </c>
      <c r="AQ4" s="1106" t="s">
        <v>181</v>
      </c>
      <c r="AR4" s="1106" t="s">
        <v>216</v>
      </c>
      <c r="AS4" s="1106" t="s">
        <v>217</v>
      </c>
      <c r="AT4" s="1016" t="s">
        <v>218</v>
      </c>
      <c r="AU4" s="1105" t="s">
        <v>215</v>
      </c>
      <c r="AV4" s="1106" t="s">
        <v>181</v>
      </c>
      <c r="AW4" s="1106" t="s">
        <v>216</v>
      </c>
      <c r="AX4" s="1106" t="s">
        <v>217</v>
      </c>
      <c r="AY4" s="1016" t="s">
        <v>218</v>
      </c>
      <c r="AZ4" s="1106" t="s">
        <v>215</v>
      </c>
      <c r="BA4" s="1106" t="s">
        <v>181</v>
      </c>
      <c r="BB4" s="1106" t="s">
        <v>216</v>
      </c>
      <c r="BC4" s="1106" t="s">
        <v>217</v>
      </c>
      <c r="BD4" s="1016" t="s">
        <v>218</v>
      </c>
      <c r="BE4" s="1105" t="s">
        <v>215</v>
      </c>
      <c r="BF4" s="1106" t="s">
        <v>181</v>
      </c>
      <c r="BG4" s="1106" t="s">
        <v>216</v>
      </c>
      <c r="BH4" s="1106" t="s">
        <v>217</v>
      </c>
      <c r="BI4" s="1016" t="s">
        <v>218</v>
      </c>
      <c r="BJ4" s="1105" t="s">
        <v>215</v>
      </c>
      <c r="BK4" s="1106" t="s">
        <v>181</v>
      </c>
      <c r="BL4" s="1106" t="s">
        <v>216</v>
      </c>
      <c r="BM4" s="1106" t="s">
        <v>217</v>
      </c>
      <c r="BN4" s="1016" t="s">
        <v>218</v>
      </c>
      <c r="BO4" s="1105" t="s">
        <v>215</v>
      </c>
      <c r="BP4" s="1106" t="s">
        <v>181</v>
      </c>
      <c r="BQ4" s="1106" t="s">
        <v>216</v>
      </c>
      <c r="BR4" s="1106" t="s">
        <v>217</v>
      </c>
      <c r="BS4" s="1016" t="s">
        <v>218</v>
      </c>
      <c r="BT4" s="1106" t="s">
        <v>215</v>
      </c>
      <c r="BU4" s="1106" t="s">
        <v>181</v>
      </c>
      <c r="BV4" s="1106" t="s">
        <v>216</v>
      </c>
      <c r="BW4" s="1106" t="s">
        <v>217</v>
      </c>
      <c r="BX4" s="1016" t="s">
        <v>218</v>
      </c>
      <c r="BY4" s="1106" t="s">
        <v>215</v>
      </c>
      <c r="BZ4" s="1106" t="s">
        <v>181</v>
      </c>
      <c r="CA4" s="1106" t="s">
        <v>216</v>
      </c>
      <c r="CB4" s="1106" t="s">
        <v>217</v>
      </c>
      <c r="CC4" s="1016" t="s">
        <v>218</v>
      </c>
      <c r="CD4" s="1106" t="s">
        <v>215</v>
      </c>
      <c r="CE4" s="1106" t="s">
        <v>181</v>
      </c>
      <c r="CF4" s="1106" t="s">
        <v>216</v>
      </c>
      <c r="CG4" s="1106" t="s">
        <v>217</v>
      </c>
      <c r="CH4" s="1016" t="s">
        <v>218</v>
      </c>
      <c r="CI4" s="1105" t="s">
        <v>215</v>
      </c>
      <c r="CJ4" s="1106" t="s">
        <v>181</v>
      </c>
      <c r="CK4" s="1106" t="s">
        <v>216</v>
      </c>
      <c r="CL4" s="1106" t="s">
        <v>217</v>
      </c>
      <c r="CM4" s="1016" t="s">
        <v>218</v>
      </c>
      <c r="CN4" s="1105" t="s">
        <v>215</v>
      </c>
      <c r="CO4" s="1106" t="s">
        <v>181</v>
      </c>
      <c r="CP4" s="1106" t="s">
        <v>216</v>
      </c>
      <c r="CQ4" s="1106" t="s">
        <v>217</v>
      </c>
      <c r="CR4" s="1016" t="s">
        <v>218</v>
      </c>
      <c r="CS4" s="1105" t="s">
        <v>215</v>
      </c>
      <c r="CT4" s="1106" t="s">
        <v>181</v>
      </c>
      <c r="CU4" s="1106" t="s">
        <v>216</v>
      </c>
      <c r="CV4" s="1106" t="s">
        <v>217</v>
      </c>
      <c r="CW4" s="1016" t="s">
        <v>218</v>
      </c>
      <c r="CX4" s="1105" t="s">
        <v>215</v>
      </c>
      <c r="CY4" s="1106" t="s">
        <v>181</v>
      </c>
      <c r="CZ4" s="1106" t="s">
        <v>216</v>
      </c>
      <c r="DA4" s="1106" t="s">
        <v>217</v>
      </c>
      <c r="DB4" s="1016" t="s">
        <v>218</v>
      </c>
      <c r="DC4" s="1105" t="s">
        <v>215</v>
      </c>
      <c r="DD4" s="1106" t="s">
        <v>181</v>
      </c>
      <c r="DE4" s="1106" t="s">
        <v>216</v>
      </c>
      <c r="DF4" s="1106" t="s">
        <v>217</v>
      </c>
      <c r="DG4" s="1106" t="s">
        <v>218</v>
      </c>
      <c r="DH4" s="1105" t="s">
        <v>215</v>
      </c>
      <c r="DI4" s="1106" t="s">
        <v>181</v>
      </c>
      <c r="DJ4" s="1106" t="s">
        <v>216</v>
      </c>
      <c r="DK4" s="1106" t="s">
        <v>217</v>
      </c>
      <c r="DL4" s="1016" t="s">
        <v>218</v>
      </c>
      <c r="DM4" s="1105" t="s">
        <v>215</v>
      </c>
      <c r="DN4" s="1106" t="s">
        <v>181</v>
      </c>
      <c r="DO4" s="1106" t="s">
        <v>216</v>
      </c>
      <c r="DP4" s="1106" t="s">
        <v>217</v>
      </c>
      <c r="DQ4" s="1016" t="s">
        <v>218</v>
      </c>
    </row>
    <row r="5" spans="1:121" ht="15" thickBot="1">
      <c r="A5" s="629" t="s">
        <v>219</v>
      </c>
      <c r="B5" s="627">
        <v>2900.13</v>
      </c>
      <c r="C5" s="618">
        <v>30.93</v>
      </c>
      <c r="D5" s="618">
        <v>0</v>
      </c>
      <c r="E5" s="618">
        <v>5811.75</v>
      </c>
      <c r="F5" s="619">
        <v>8742.82</v>
      </c>
      <c r="G5" s="606">
        <v>0</v>
      </c>
      <c r="H5" s="607">
        <v>0</v>
      </c>
      <c r="I5" s="607">
        <v>0</v>
      </c>
      <c r="J5" s="607">
        <v>0</v>
      </c>
      <c r="K5" s="608">
        <v>0</v>
      </c>
      <c r="L5" s="614">
        <v>64.44</v>
      </c>
      <c r="M5" s="607"/>
      <c r="N5" s="607">
        <v>12.27</v>
      </c>
      <c r="O5" s="607">
        <v>222.49</v>
      </c>
      <c r="P5" s="608">
        <v>299.2</v>
      </c>
      <c r="Q5" s="606">
        <v>7373.3</v>
      </c>
      <c r="R5" s="607">
        <v>16.67</v>
      </c>
      <c r="S5" s="607">
        <v>1378.13</v>
      </c>
      <c r="T5" s="607">
        <v>17620.1</v>
      </c>
      <c r="U5" s="608">
        <v>26388.19</v>
      </c>
      <c r="V5" s="606">
        <v>1324.31</v>
      </c>
      <c r="W5" s="607"/>
      <c r="X5" s="607">
        <v>59.29</v>
      </c>
      <c r="Y5" s="607">
        <v>2775.32</v>
      </c>
      <c r="Z5" s="608">
        <v>4158.91</v>
      </c>
      <c r="AA5" s="606">
        <v>1615.93</v>
      </c>
      <c r="AB5" s="607">
        <v>0</v>
      </c>
      <c r="AC5" s="607">
        <v>32.58</v>
      </c>
      <c r="AD5" s="607">
        <v>2156.41</v>
      </c>
      <c r="AE5" s="608"/>
      <c r="AF5" s="742">
        <v>90576.76</v>
      </c>
      <c r="AG5" s="743">
        <v>0</v>
      </c>
      <c r="AH5" s="743">
        <v>65</v>
      </c>
      <c r="AI5" s="743">
        <v>161849.85</v>
      </c>
      <c r="AJ5" s="744">
        <v>252491.61</v>
      </c>
      <c r="AK5" s="606">
        <v>33428</v>
      </c>
      <c r="AL5" s="607"/>
      <c r="AM5" s="607">
        <v>29770</v>
      </c>
      <c r="AN5" s="607">
        <v>139572</v>
      </c>
      <c r="AO5" s="608">
        <v>202769</v>
      </c>
      <c r="AP5" s="606">
        <v>219383</v>
      </c>
      <c r="AQ5" s="607">
        <v>37118</v>
      </c>
      <c r="AR5" s="607">
        <v>681687</v>
      </c>
      <c r="AS5" s="607">
        <v>67329</v>
      </c>
      <c r="AT5" s="613">
        <f>SUM(AP5:AS5)</f>
        <v>1005517</v>
      </c>
      <c r="AU5" s="606">
        <v>600.18</v>
      </c>
      <c r="AV5" s="607"/>
      <c r="AW5" s="607">
        <v>175.34</v>
      </c>
      <c r="AX5" s="607">
        <v>1645.07</v>
      </c>
      <c r="AY5" s="607">
        <v>2420.59</v>
      </c>
      <c r="AZ5" s="607">
        <v>9741.38</v>
      </c>
      <c r="BA5" s="607"/>
      <c r="BB5" s="607">
        <v>1226.1</v>
      </c>
      <c r="BC5" s="607">
        <v>26704</v>
      </c>
      <c r="BD5" s="613">
        <v>37671.48</v>
      </c>
      <c r="BE5" s="603">
        <v>946650.57</v>
      </c>
      <c r="BF5" s="604">
        <v>27018.58</v>
      </c>
      <c r="BG5" s="604">
        <v>289791.5</v>
      </c>
      <c r="BH5" s="604">
        <v>2902355.17</v>
      </c>
      <c r="BI5" s="605">
        <v>4165815.83</v>
      </c>
      <c r="BJ5" s="606">
        <v>157854.91</v>
      </c>
      <c r="BK5" s="607">
        <v>391.11</v>
      </c>
      <c r="BL5" s="607">
        <v>47605.93</v>
      </c>
      <c r="BM5" s="607">
        <v>355297.62</v>
      </c>
      <c r="BN5" s="608">
        <v>561149.58</v>
      </c>
      <c r="BO5" s="606"/>
      <c r="BP5" s="607"/>
      <c r="BQ5" s="607"/>
      <c r="BR5" s="607"/>
      <c r="BS5" s="605">
        <v>2024.35</v>
      </c>
      <c r="BT5" s="614">
        <v>2568.12</v>
      </c>
      <c r="BU5" s="607">
        <v>57.08</v>
      </c>
      <c r="BV5" s="607">
        <v>141.08</v>
      </c>
      <c r="BW5" s="607">
        <v>12468.15</v>
      </c>
      <c r="BX5" s="607">
        <v>15234.42</v>
      </c>
      <c r="BY5" s="607">
        <v>9335</v>
      </c>
      <c r="BZ5" s="607">
        <v>0</v>
      </c>
      <c r="CA5" s="607">
        <v>1153</v>
      </c>
      <c r="CB5" s="607">
        <v>25459</v>
      </c>
      <c r="CC5" s="607">
        <v>41314</v>
      </c>
      <c r="CD5" s="607">
        <v>5731.23</v>
      </c>
      <c r="CE5" s="607">
        <v>0</v>
      </c>
      <c r="CF5" s="607">
        <v>0</v>
      </c>
      <c r="CG5" s="607">
        <v>7809.22</v>
      </c>
      <c r="CH5" s="613">
        <v>13540.45</v>
      </c>
      <c r="CI5" s="603">
        <v>3192.02</v>
      </c>
      <c r="CJ5" s="604">
        <v>0</v>
      </c>
      <c r="CK5" s="604">
        <v>131.35</v>
      </c>
      <c r="CL5" s="604">
        <v>10353.98</v>
      </c>
      <c r="CM5" s="605">
        <v>13677.35</v>
      </c>
      <c r="CN5" s="614"/>
      <c r="CO5" s="607"/>
      <c r="CP5" s="607"/>
      <c r="CQ5" s="607"/>
      <c r="CR5" s="608"/>
      <c r="CS5" s="615">
        <v>11703.98</v>
      </c>
      <c r="CT5" s="616">
        <v>173.02</v>
      </c>
      <c r="CU5" s="616">
        <v>2488.32</v>
      </c>
      <c r="CV5" s="616">
        <v>26271</v>
      </c>
      <c r="CW5" s="617">
        <v>40636.32</v>
      </c>
      <c r="CX5" s="606">
        <v>935.08</v>
      </c>
      <c r="CY5" s="607">
        <v>0</v>
      </c>
      <c r="CZ5" s="607">
        <v>49.58</v>
      </c>
      <c r="DA5" s="607">
        <v>2148.01</v>
      </c>
      <c r="DB5" s="608">
        <v>3132.67</v>
      </c>
      <c r="DC5" s="606">
        <v>882.48</v>
      </c>
      <c r="DD5" s="607"/>
      <c r="DE5" s="607">
        <v>218.2</v>
      </c>
      <c r="DF5" s="607">
        <v>2804.47</v>
      </c>
      <c r="DG5" s="613">
        <v>3905.15</v>
      </c>
      <c r="DH5" s="606">
        <v>0</v>
      </c>
      <c r="DI5" s="607">
        <v>0</v>
      </c>
      <c r="DJ5" s="607">
        <v>0</v>
      </c>
      <c r="DK5" s="607">
        <v>0</v>
      </c>
      <c r="DL5" s="608">
        <v>0</v>
      </c>
      <c r="DM5" s="606"/>
      <c r="DN5" s="607"/>
      <c r="DO5" s="607"/>
      <c r="DP5" s="607"/>
      <c r="DQ5" s="608"/>
    </row>
    <row r="6" spans="1:121" ht="14.25">
      <c r="A6" s="630" t="s">
        <v>220</v>
      </c>
      <c r="B6" s="382"/>
      <c r="C6" s="101"/>
      <c r="D6" s="101"/>
      <c r="E6" s="101"/>
      <c r="F6" s="102"/>
      <c r="G6" s="2"/>
      <c r="H6" s="3"/>
      <c r="I6" s="3"/>
      <c r="J6" s="3"/>
      <c r="K6" s="1">
        <v>0</v>
      </c>
      <c r="L6" s="29"/>
      <c r="M6" s="3"/>
      <c r="N6" s="3"/>
      <c r="O6" s="3"/>
      <c r="P6" s="4"/>
      <c r="Q6" s="2"/>
      <c r="R6" s="3"/>
      <c r="S6" s="3"/>
      <c r="T6" s="3"/>
      <c r="U6" s="4"/>
      <c r="V6" s="2"/>
      <c r="W6" s="3"/>
      <c r="X6" s="3"/>
      <c r="Y6" s="3"/>
      <c r="Z6" s="4"/>
      <c r="AA6" s="2">
        <v>5</v>
      </c>
      <c r="AB6" s="607">
        <v>0</v>
      </c>
      <c r="AC6" s="3">
        <v>32.58</v>
      </c>
      <c r="AD6" s="3"/>
      <c r="AE6" s="4"/>
      <c r="AF6" s="683"/>
      <c r="AG6" s="475"/>
      <c r="AH6" s="475"/>
      <c r="AI6" s="475"/>
      <c r="AJ6" s="745"/>
      <c r="AK6" s="29"/>
      <c r="AL6" s="3"/>
      <c r="AM6" s="3"/>
      <c r="AN6" s="3"/>
      <c r="AO6" s="4"/>
      <c r="AP6" s="2"/>
      <c r="AQ6" s="3"/>
      <c r="AR6" s="3"/>
      <c r="AS6" s="3"/>
      <c r="AT6" s="351"/>
      <c r="AU6" s="2">
        <v>26.95</v>
      </c>
      <c r="AV6" s="3"/>
      <c r="AW6" s="3"/>
      <c r="AX6" s="3"/>
      <c r="AY6" s="3">
        <v>26.95</v>
      </c>
      <c r="AZ6" s="3"/>
      <c r="BB6" s="3"/>
      <c r="BC6" s="3"/>
      <c r="BD6" s="351"/>
      <c r="BE6" s="2"/>
      <c r="BF6" s="3"/>
      <c r="BG6" s="3"/>
      <c r="BH6" s="3"/>
      <c r="BI6" s="4"/>
      <c r="BJ6" s="352"/>
      <c r="BK6" s="5"/>
      <c r="BL6" s="5"/>
      <c r="BM6" s="5"/>
      <c r="BN6" s="1"/>
      <c r="BO6" s="2"/>
      <c r="BP6" s="3"/>
      <c r="BQ6" s="3"/>
      <c r="BR6" s="3"/>
      <c r="BS6" s="4"/>
      <c r="BT6" s="29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51"/>
      <c r="CI6" s="2"/>
      <c r="CJ6" s="3"/>
      <c r="CK6" s="3"/>
      <c r="CL6" s="3"/>
      <c r="CM6" s="4"/>
      <c r="CN6" s="35"/>
      <c r="CO6" s="3"/>
      <c r="CP6" s="3"/>
      <c r="CQ6" s="3"/>
      <c r="CR6" s="4"/>
      <c r="CS6" s="29"/>
      <c r="CT6" s="3"/>
      <c r="CU6" s="580"/>
      <c r="CV6" s="580"/>
      <c r="CW6" s="581"/>
      <c r="CX6" s="582"/>
      <c r="CY6" s="353"/>
      <c r="CZ6" s="353"/>
      <c r="DA6" s="353"/>
      <c r="DB6" s="464"/>
      <c r="DC6" s="583">
        <v>44</v>
      </c>
      <c r="DD6" s="354"/>
      <c r="DE6" s="354"/>
      <c r="DF6" s="354"/>
      <c r="DG6" s="1315">
        <v>44</v>
      </c>
      <c r="DH6" s="2"/>
      <c r="DI6" s="3"/>
      <c r="DJ6" s="3"/>
      <c r="DK6" s="3"/>
      <c r="DL6" s="1"/>
      <c r="DM6" s="583"/>
      <c r="DN6" s="354"/>
      <c r="DO6" s="354"/>
      <c r="DP6" s="354"/>
      <c r="DQ6" s="467"/>
    </row>
    <row r="7" spans="1:121" ht="14.25">
      <c r="A7" s="630" t="s">
        <v>257</v>
      </c>
      <c r="B7" s="382"/>
      <c r="C7" s="101"/>
      <c r="D7" s="101"/>
      <c r="E7" s="101"/>
      <c r="F7" s="102"/>
      <c r="G7" s="2"/>
      <c r="H7" s="3"/>
      <c r="I7" s="3"/>
      <c r="J7" s="3"/>
      <c r="K7" s="1">
        <v>0</v>
      </c>
      <c r="L7" s="29"/>
      <c r="M7" s="3"/>
      <c r="N7" s="3"/>
      <c r="O7" s="3"/>
      <c r="P7" s="4"/>
      <c r="Q7" s="2"/>
      <c r="R7" s="3"/>
      <c r="S7" s="3"/>
      <c r="T7" s="3"/>
      <c r="U7" s="4"/>
      <c r="V7" s="2"/>
      <c r="W7" s="3"/>
      <c r="X7" s="3"/>
      <c r="Y7" s="3"/>
      <c r="Z7" s="4"/>
      <c r="AA7" s="584">
        <v>0.0031</v>
      </c>
      <c r="AB7" s="607">
        <v>0</v>
      </c>
      <c r="AC7" s="585">
        <v>1</v>
      </c>
      <c r="AD7" s="3"/>
      <c r="AE7" s="4"/>
      <c r="AF7" s="584"/>
      <c r="AG7" s="585"/>
      <c r="AH7" s="585"/>
      <c r="AI7" s="585"/>
      <c r="AJ7" s="586"/>
      <c r="AK7" s="29"/>
      <c r="AL7" s="3"/>
      <c r="AM7" s="3"/>
      <c r="AN7" s="3"/>
      <c r="AO7" s="4"/>
      <c r="AP7" s="2"/>
      <c r="AQ7" s="3"/>
      <c r="AR7" s="3"/>
      <c r="AS7" s="3"/>
      <c r="AT7" s="351"/>
      <c r="AU7" s="2">
        <v>4.49</v>
      </c>
      <c r="AV7" s="3"/>
      <c r="AW7" s="3"/>
      <c r="AX7" s="3"/>
      <c r="AY7" s="585">
        <v>0.0449</v>
      </c>
      <c r="AZ7" s="585">
        <v>0</v>
      </c>
      <c r="BA7" s="585">
        <v>0</v>
      </c>
      <c r="BB7" s="585">
        <v>0</v>
      </c>
      <c r="BC7" s="585">
        <v>0</v>
      </c>
      <c r="BD7" s="853">
        <v>0</v>
      </c>
      <c r="BE7" s="2"/>
      <c r="BF7" s="3"/>
      <c r="BG7" s="3"/>
      <c r="BH7" s="3"/>
      <c r="BI7" s="4"/>
      <c r="BJ7" s="587"/>
      <c r="BK7" s="588"/>
      <c r="BL7" s="588"/>
      <c r="BM7" s="588"/>
      <c r="BN7" s="589"/>
      <c r="BO7" s="2"/>
      <c r="BP7" s="3"/>
      <c r="BQ7" s="3"/>
      <c r="BR7" s="3"/>
      <c r="BS7" s="4"/>
      <c r="BT7" s="29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51"/>
      <c r="CI7" s="2"/>
      <c r="CJ7" s="3"/>
      <c r="CK7" s="3"/>
      <c r="CL7" s="3"/>
      <c r="CM7" s="4"/>
      <c r="CN7" s="35"/>
      <c r="CO7" s="3"/>
      <c r="CP7" s="3"/>
      <c r="CQ7" s="3"/>
      <c r="CR7" s="4"/>
      <c r="CS7" s="29"/>
      <c r="CT7" s="3"/>
      <c r="CU7" s="580"/>
      <c r="CV7" s="580"/>
      <c r="CW7" s="581"/>
      <c r="CX7" s="582"/>
      <c r="CY7" s="353"/>
      <c r="CZ7" s="353"/>
      <c r="DA7" s="353"/>
      <c r="DB7" s="464"/>
      <c r="DC7" s="583">
        <v>0.0499</v>
      </c>
      <c r="DD7" s="354"/>
      <c r="DE7" s="354"/>
      <c r="DF7" s="354"/>
      <c r="DG7" s="1315">
        <v>0.0113</v>
      </c>
      <c r="DH7" s="2"/>
      <c r="DI7" s="3"/>
      <c r="DJ7" s="3"/>
      <c r="DK7" s="3"/>
      <c r="DL7" s="1"/>
      <c r="DM7" s="583"/>
      <c r="DN7" s="354"/>
      <c r="DO7" s="354"/>
      <c r="DP7" s="354"/>
      <c r="DQ7" s="467"/>
    </row>
    <row r="8" spans="1:121" ht="14.25">
      <c r="A8" s="630" t="s">
        <v>221</v>
      </c>
      <c r="B8" s="382"/>
      <c r="C8" s="101"/>
      <c r="D8" s="101"/>
      <c r="E8" s="101"/>
      <c r="F8" s="102"/>
      <c r="G8" s="2"/>
      <c r="H8" s="3"/>
      <c r="I8" s="3"/>
      <c r="J8" s="3"/>
      <c r="K8" s="1">
        <v>0</v>
      </c>
      <c r="L8" s="29"/>
      <c r="M8" s="3"/>
      <c r="N8" s="3"/>
      <c r="O8" s="3"/>
      <c r="P8" s="4"/>
      <c r="Q8" s="2"/>
      <c r="R8" s="3"/>
      <c r="S8" s="3"/>
      <c r="T8" s="3"/>
      <c r="U8" s="4"/>
      <c r="V8" s="2"/>
      <c r="W8" s="3"/>
      <c r="X8" s="3"/>
      <c r="Y8" s="3"/>
      <c r="Z8" s="4"/>
      <c r="AA8" s="2">
        <v>2.5</v>
      </c>
      <c r="AB8" s="607">
        <v>0</v>
      </c>
      <c r="AC8" s="3">
        <v>15.08</v>
      </c>
      <c r="AD8" s="3"/>
      <c r="AE8" s="4"/>
      <c r="AF8" s="2"/>
      <c r="AG8" s="3"/>
      <c r="AH8" s="3"/>
      <c r="AI8" s="3"/>
      <c r="AJ8" s="1"/>
      <c r="AK8" s="29"/>
      <c r="AL8" s="3"/>
      <c r="AM8" s="3"/>
      <c r="AN8" s="3"/>
      <c r="AO8" s="4"/>
      <c r="AP8" s="2"/>
      <c r="AQ8" s="3"/>
      <c r="AR8" s="3"/>
      <c r="AS8" s="3"/>
      <c r="AT8" s="351"/>
      <c r="AU8" s="2">
        <v>4.55</v>
      </c>
      <c r="AV8" s="3"/>
      <c r="AW8" s="3"/>
      <c r="AX8" s="3"/>
      <c r="AY8" s="3">
        <v>4.55</v>
      </c>
      <c r="AZ8" s="3"/>
      <c r="BA8" s="585"/>
      <c r="BB8" s="3"/>
      <c r="BC8" s="3"/>
      <c r="BD8" s="351"/>
      <c r="BE8" s="2"/>
      <c r="BF8" s="3"/>
      <c r="BG8" s="3"/>
      <c r="BH8" s="3"/>
      <c r="BI8" s="4"/>
      <c r="BJ8" s="352"/>
      <c r="BK8" s="5"/>
      <c r="BL8" s="5"/>
      <c r="BM8" s="5"/>
      <c r="BN8" s="1"/>
      <c r="BO8" s="2"/>
      <c r="BP8" s="3"/>
      <c r="BQ8" s="3"/>
      <c r="BR8" s="3"/>
      <c r="BS8" s="4"/>
      <c r="BT8" s="29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51"/>
      <c r="CI8" s="2"/>
      <c r="CJ8" s="3"/>
      <c r="CK8" s="3"/>
      <c r="CL8" s="3"/>
      <c r="CM8" s="4"/>
      <c r="CN8" s="35"/>
      <c r="CO8" s="3"/>
      <c r="CP8" s="3"/>
      <c r="CQ8" s="3"/>
      <c r="CR8" s="4"/>
      <c r="CS8" s="29"/>
      <c r="CT8" s="3"/>
      <c r="CU8" s="580"/>
      <c r="CV8" s="580"/>
      <c r="CW8" s="581"/>
      <c r="CX8" s="582"/>
      <c r="CY8" s="353"/>
      <c r="CZ8" s="353"/>
      <c r="DA8" s="353"/>
      <c r="DB8" s="464"/>
      <c r="DC8" s="583">
        <v>4.4</v>
      </c>
      <c r="DD8" s="354"/>
      <c r="DE8" s="354"/>
      <c r="DF8" s="354"/>
      <c r="DG8" s="1315">
        <v>4.4</v>
      </c>
      <c r="DH8" s="2"/>
      <c r="DI8" s="3"/>
      <c r="DJ8" s="3"/>
      <c r="DK8" s="3"/>
      <c r="DL8" s="1"/>
      <c r="DM8" s="583"/>
      <c r="DN8" s="354"/>
      <c r="DO8" s="354"/>
      <c r="DP8" s="354"/>
      <c r="DQ8" s="467"/>
    </row>
    <row r="9" spans="1:121" ht="14.25">
      <c r="A9" s="630" t="s">
        <v>258</v>
      </c>
      <c r="B9" s="382"/>
      <c r="C9" s="101"/>
      <c r="D9" s="101"/>
      <c r="E9" s="101"/>
      <c r="F9" s="102"/>
      <c r="G9" s="2"/>
      <c r="H9" s="3"/>
      <c r="I9" s="3"/>
      <c r="J9" s="3"/>
      <c r="K9" s="1">
        <v>0</v>
      </c>
      <c r="L9" s="29"/>
      <c r="M9" s="3"/>
      <c r="N9" s="3"/>
      <c r="O9" s="3"/>
      <c r="P9" s="4"/>
      <c r="Q9" s="2"/>
      <c r="R9" s="3"/>
      <c r="S9" s="3"/>
      <c r="T9" s="3"/>
      <c r="U9" s="4"/>
      <c r="V9" s="2"/>
      <c r="W9" s="3"/>
      <c r="X9" s="3"/>
      <c r="Y9" s="3"/>
      <c r="Z9" s="4"/>
      <c r="AA9" s="584">
        <v>0.5</v>
      </c>
      <c r="AB9" s="607">
        <v>0</v>
      </c>
      <c r="AC9" s="585">
        <v>0.4628</v>
      </c>
      <c r="AD9" s="3"/>
      <c r="AE9" s="4"/>
      <c r="AF9" s="2"/>
      <c r="AG9" s="3"/>
      <c r="AH9" s="3"/>
      <c r="AI9" s="3"/>
      <c r="AJ9" s="1"/>
      <c r="AK9" s="29"/>
      <c r="AL9" s="3"/>
      <c r="AM9" s="3"/>
      <c r="AN9" s="3"/>
      <c r="AO9" s="4"/>
      <c r="AP9" s="2"/>
      <c r="AQ9" s="3"/>
      <c r="AR9" s="3"/>
      <c r="AS9" s="3"/>
      <c r="AT9" s="351"/>
      <c r="AU9" s="2">
        <v>16.88</v>
      </c>
      <c r="AV9" s="3"/>
      <c r="AW9" s="3"/>
      <c r="AX9" s="3"/>
      <c r="AY9" s="585">
        <v>0.1688</v>
      </c>
      <c r="AZ9" s="585">
        <v>0</v>
      </c>
      <c r="BA9" s="585">
        <v>0</v>
      </c>
      <c r="BB9" s="585">
        <v>0</v>
      </c>
      <c r="BC9" s="585">
        <v>0</v>
      </c>
      <c r="BD9" s="853">
        <v>0</v>
      </c>
      <c r="BE9" s="2"/>
      <c r="BF9" s="3"/>
      <c r="BG9" s="3"/>
      <c r="BH9" s="3"/>
      <c r="BI9" s="4"/>
      <c r="BJ9" s="352"/>
      <c r="BK9" s="5"/>
      <c r="BL9" s="5"/>
      <c r="BM9" s="5"/>
      <c r="BN9" s="1"/>
      <c r="BO9" s="2"/>
      <c r="BP9" s="3"/>
      <c r="BQ9" s="3"/>
      <c r="BR9" s="3"/>
      <c r="BS9" s="4"/>
      <c r="BT9" s="29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51"/>
      <c r="CI9" s="2"/>
      <c r="CJ9" s="3"/>
      <c r="CK9" s="3"/>
      <c r="CL9" s="3"/>
      <c r="CM9" s="4"/>
      <c r="CN9" s="35"/>
      <c r="CO9" s="3"/>
      <c r="CP9" s="3"/>
      <c r="CQ9" s="3"/>
      <c r="CR9" s="4"/>
      <c r="CS9" s="29"/>
      <c r="CT9" s="3"/>
      <c r="CU9" s="580"/>
      <c r="CV9" s="580"/>
      <c r="CW9" s="581"/>
      <c r="CX9" s="582"/>
      <c r="CY9" s="353"/>
      <c r="CZ9" s="353"/>
      <c r="DA9" s="353"/>
      <c r="DB9" s="464"/>
      <c r="DC9" s="583">
        <v>0.1</v>
      </c>
      <c r="DD9" s="354"/>
      <c r="DE9" s="354"/>
      <c r="DF9" s="354"/>
      <c r="DG9" s="1315">
        <v>0.1</v>
      </c>
      <c r="DH9" s="2"/>
      <c r="DI9" s="3"/>
      <c r="DJ9" s="3"/>
      <c r="DK9" s="3"/>
      <c r="DL9" s="1"/>
      <c r="DM9" s="583"/>
      <c r="DN9" s="354"/>
      <c r="DO9" s="354"/>
      <c r="DP9" s="354"/>
      <c r="DQ9" s="467"/>
    </row>
    <row r="10" spans="1:121" ht="14.25">
      <c r="A10" s="630" t="s">
        <v>222</v>
      </c>
      <c r="B10" s="142"/>
      <c r="C10" s="57"/>
      <c r="D10" s="57"/>
      <c r="E10" s="57"/>
      <c r="F10" s="125"/>
      <c r="G10" s="7"/>
      <c r="H10" s="8"/>
      <c r="I10" s="8"/>
      <c r="J10" s="8"/>
      <c r="K10" s="1">
        <v>0</v>
      </c>
      <c r="L10" s="49"/>
      <c r="M10" s="8"/>
      <c r="N10" s="8"/>
      <c r="O10" s="8"/>
      <c r="P10" s="9"/>
      <c r="Q10" s="7"/>
      <c r="R10" s="8"/>
      <c r="S10" s="8"/>
      <c r="T10" s="8"/>
      <c r="U10" s="9"/>
      <c r="V10" s="7"/>
      <c r="W10" s="8"/>
      <c r="X10" s="8"/>
      <c r="Y10" s="8"/>
      <c r="Z10" s="9"/>
      <c r="AA10" s="7"/>
      <c r="AB10" s="607">
        <v>0</v>
      </c>
      <c r="AC10" s="8"/>
      <c r="AD10" s="8"/>
      <c r="AE10" s="9"/>
      <c r="AF10" s="7"/>
      <c r="AG10" s="8"/>
      <c r="AH10" s="8"/>
      <c r="AI10" s="8"/>
      <c r="AJ10" s="1"/>
      <c r="AK10" s="49"/>
      <c r="AL10" s="8"/>
      <c r="AM10" s="8"/>
      <c r="AN10" s="8"/>
      <c r="AO10" s="9"/>
      <c r="AP10" s="7"/>
      <c r="AQ10" s="8"/>
      <c r="AR10" s="8"/>
      <c r="AS10" s="8"/>
      <c r="AT10" s="145"/>
      <c r="AU10" s="7"/>
      <c r="AV10" s="8"/>
      <c r="AW10" s="8"/>
      <c r="AX10" s="8"/>
      <c r="AY10" s="8"/>
      <c r="AZ10" s="8"/>
      <c r="BA10" s="854"/>
      <c r="BB10" s="8"/>
      <c r="BC10" s="8"/>
      <c r="BD10" s="145"/>
      <c r="BE10" s="7"/>
      <c r="BF10" s="8"/>
      <c r="BG10" s="8"/>
      <c r="BH10" s="8"/>
      <c r="BI10" s="9"/>
      <c r="BJ10" s="352"/>
      <c r="BK10" s="5"/>
      <c r="BL10" s="5"/>
      <c r="BM10" s="5"/>
      <c r="BN10" s="1"/>
      <c r="BO10" s="7"/>
      <c r="BP10" s="8"/>
      <c r="BQ10" s="8"/>
      <c r="BR10" s="8"/>
      <c r="BS10" s="9"/>
      <c r="BT10" s="152"/>
      <c r="BU10" s="153">
        <v>0.23</v>
      </c>
      <c r="BV10" s="153"/>
      <c r="BW10" s="153"/>
      <c r="BX10" s="153">
        <v>0.23</v>
      </c>
      <c r="BY10" s="8"/>
      <c r="BZ10" s="8"/>
      <c r="CA10" s="8"/>
      <c r="CB10" s="8"/>
      <c r="CC10" s="8"/>
      <c r="CD10" s="8"/>
      <c r="CE10" s="8"/>
      <c r="CF10" s="8"/>
      <c r="CG10" s="8"/>
      <c r="CH10" s="145"/>
      <c r="CI10" s="7"/>
      <c r="CJ10" s="8"/>
      <c r="CK10" s="8"/>
      <c r="CL10" s="8"/>
      <c r="CM10" s="9"/>
      <c r="CN10" s="35"/>
      <c r="CO10" s="3"/>
      <c r="CP10" s="3"/>
      <c r="CQ10" s="3"/>
      <c r="CR10" s="4"/>
      <c r="CS10" s="29"/>
      <c r="CT10" s="580">
        <v>0.52</v>
      </c>
      <c r="CU10" s="580"/>
      <c r="CV10" s="580"/>
      <c r="CW10" s="581">
        <v>0.52</v>
      </c>
      <c r="CX10" s="582"/>
      <c r="CY10" s="353"/>
      <c r="CZ10" s="353"/>
      <c r="DA10" s="353"/>
      <c r="DB10" s="464"/>
      <c r="DC10" s="583"/>
      <c r="DD10" s="354"/>
      <c r="DE10" s="354"/>
      <c r="DF10" s="354"/>
      <c r="DG10" s="1315"/>
      <c r="DH10" s="7"/>
      <c r="DI10" s="8"/>
      <c r="DJ10" s="8"/>
      <c r="DK10" s="8"/>
      <c r="DL10" s="1"/>
      <c r="DM10" s="7"/>
      <c r="DN10" s="8"/>
      <c r="DO10" s="8"/>
      <c r="DP10" s="8"/>
      <c r="DQ10" s="9"/>
    </row>
    <row r="11" spans="1:121" s="144" customFormat="1" ht="13.5">
      <c r="A11" s="630" t="s">
        <v>259</v>
      </c>
      <c r="B11" s="142">
        <f>B5</f>
        <v>2900.13</v>
      </c>
      <c r="C11" s="142">
        <f>C5</f>
        <v>30.93</v>
      </c>
      <c r="D11" s="142">
        <f>D5</f>
        <v>0</v>
      </c>
      <c r="E11" s="142">
        <f>E5</f>
        <v>5811.75</v>
      </c>
      <c r="F11" s="142">
        <f>F5</f>
        <v>8742.82</v>
      </c>
      <c r="G11" s="7"/>
      <c r="H11" s="8"/>
      <c r="I11" s="8"/>
      <c r="J11" s="8"/>
      <c r="K11" s="1">
        <v>0</v>
      </c>
      <c r="L11" s="49">
        <v>64.44</v>
      </c>
      <c r="M11" s="7"/>
      <c r="N11" s="7">
        <v>12.27</v>
      </c>
      <c r="O11" s="7">
        <v>222.49</v>
      </c>
      <c r="P11" s="7">
        <v>299.2</v>
      </c>
      <c r="Q11" s="7"/>
      <c r="R11" s="7"/>
      <c r="S11" s="7"/>
      <c r="T11" s="7"/>
      <c r="U11" s="7"/>
      <c r="V11" s="7">
        <f>V5</f>
        <v>1324.31</v>
      </c>
      <c r="W11" s="7"/>
      <c r="X11" s="7">
        <f>59.29</f>
        <v>59.29</v>
      </c>
      <c r="Y11" s="7">
        <f>Y5</f>
        <v>2775.32</v>
      </c>
      <c r="Z11" s="7">
        <f>Z5</f>
        <v>4158.91</v>
      </c>
      <c r="AA11" s="7">
        <v>1613.43</v>
      </c>
      <c r="AB11" s="607">
        <v>0</v>
      </c>
      <c r="AC11" s="7">
        <v>17.5</v>
      </c>
      <c r="AD11" s="7">
        <v>2156.41</v>
      </c>
      <c r="AE11" s="1175"/>
      <c r="AF11" s="7">
        <f>AF5</f>
        <v>90576.76</v>
      </c>
      <c r="AG11" s="8">
        <f>AG5</f>
        <v>0</v>
      </c>
      <c r="AH11" s="8">
        <f>AH5</f>
        <v>65</v>
      </c>
      <c r="AI11" s="8">
        <f>AI5</f>
        <v>161849.85</v>
      </c>
      <c r="AJ11" s="9">
        <f>AJ5</f>
        <v>252491.61</v>
      </c>
      <c r="AK11" s="49">
        <v>33428</v>
      </c>
      <c r="AL11" s="7"/>
      <c r="AM11" s="7">
        <v>29770</v>
      </c>
      <c r="AN11" s="7">
        <v>139572</v>
      </c>
      <c r="AO11" s="7">
        <v>202769</v>
      </c>
      <c r="AP11" s="7">
        <f>AP5</f>
        <v>219383</v>
      </c>
      <c r="AQ11" s="48">
        <f>AQ5</f>
        <v>37118</v>
      </c>
      <c r="AR11" s="7">
        <f>AR5</f>
        <v>681687</v>
      </c>
      <c r="AS11" s="7">
        <f>AS5</f>
        <v>67329</v>
      </c>
      <c r="AT11" s="48">
        <f>AT5</f>
        <v>1005517</v>
      </c>
      <c r="AU11" s="7">
        <v>595.63</v>
      </c>
      <c r="AV11" s="7"/>
      <c r="AW11" s="7">
        <f>AW5</f>
        <v>175.34</v>
      </c>
      <c r="AX11" s="7">
        <f>AX5</f>
        <v>1645.07</v>
      </c>
      <c r="AY11" s="7">
        <v>2416.04</v>
      </c>
      <c r="AZ11" s="8">
        <v>9741.38</v>
      </c>
      <c r="BA11" s="854"/>
      <c r="BB11" s="8">
        <v>1226.1</v>
      </c>
      <c r="BC11" s="607">
        <v>26704</v>
      </c>
      <c r="BD11" s="145">
        <v>37671.48</v>
      </c>
      <c r="BE11" s="7">
        <f aca="true" t="shared" si="0" ref="BE11:BN11">BE5</f>
        <v>946650.57</v>
      </c>
      <c r="BF11" s="7">
        <f t="shared" si="0"/>
        <v>27018.58</v>
      </c>
      <c r="BG11" s="7">
        <f t="shared" si="0"/>
        <v>289791.5</v>
      </c>
      <c r="BH11" s="7">
        <f t="shared" si="0"/>
        <v>2902355.17</v>
      </c>
      <c r="BI11" s="7">
        <f t="shared" si="0"/>
        <v>4165815.83</v>
      </c>
      <c r="BJ11" s="7">
        <f t="shared" si="0"/>
        <v>157854.91</v>
      </c>
      <c r="BK11" s="7">
        <f t="shared" si="0"/>
        <v>391.11</v>
      </c>
      <c r="BL11" s="7">
        <f t="shared" si="0"/>
        <v>47605.93</v>
      </c>
      <c r="BM11" s="7">
        <f t="shared" si="0"/>
        <v>355297.62</v>
      </c>
      <c r="BN11" s="7">
        <f t="shared" si="0"/>
        <v>561149.58</v>
      </c>
      <c r="BO11" s="7"/>
      <c r="BP11" s="8"/>
      <c r="BQ11" s="8"/>
      <c r="BR11" s="8"/>
      <c r="BS11" s="9">
        <v>2024.35</v>
      </c>
      <c r="BT11" s="49">
        <f>BT5</f>
        <v>2568.12</v>
      </c>
      <c r="BU11" s="49">
        <f>BU5</f>
        <v>57.08</v>
      </c>
      <c r="BV11" s="49">
        <f>BV5</f>
        <v>141.08</v>
      </c>
      <c r="BW11" s="49">
        <f>BW5</f>
        <v>12468.15</v>
      </c>
      <c r="BX11" s="8">
        <v>15234.42</v>
      </c>
      <c r="BY11" s="8">
        <f>BY5</f>
        <v>9335</v>
      </c>
      <c r="BZ11" s="8">
        <v>0</v>
      </c>
      <c r="CA11" s="8">
        <f aca="true" t="shared" si="1" ref="CA11:CM11">CA5</f>
        <v>1153</v>
      </c>
      <c r="CB11" s="8">
        <f t="shared" si="1"/>
        <v>25459</v>
      </c>
      <c r="CC11" s="8">
        <f t="shared" si="1"/>
        <v>41314</v>
      </c>
      <c r="CD11" s="8">
        <f t="shared" si="1"/>
        <v>5731.23</v>
      </c>
      <c r="CE11" s="8">
        <f t="shared" si="1"/>
        <v>0</v>
      </c>
      <c r="CF11" s="8">
        <f t="shared" si="1"/>
        <v>0</v>
      </c>
      <c r="CG11" s="8">
        <f t="shared" si="1"/>
        <v>7809.22</v>
      </c>
      <c r="CH11" s="8">
        <f t="shared" si="1"/>
        <v>13540.45</v>
      </c>
      <c r="CI11" s="7">
        <f t="shared" si="1"/>
        <v>3192.02</v>
      </c>
      <c r="CJ11" s="7">
        <f t="shared" si="1"/>
        <v>0</v>
      </c>
      <c r="CK11" s="7">
        <f t="shared" si="1"/>
        <v>131.35</v>
      </c>
      <c r="CL11" s="7">
        <f t="shared" si="1"/>
        <v>10353.98</v>
      </c>
      <c r="CM11" s="7">
        <f t="shared" si="1"/>
        <v>13677.35</v>
      </c>
      <c r="CN11" s="609"/>
      <c r="CO11" s="8"/>
      <c r="CP11" s="8"/>
      <c r="CQ11" s="8"/>
      <c r="CR11" s="9"/>
      <c r="CS11" s="610">
        <f>CS5</f>
        <v>11703.98</v>
      </c>
      <c r="CT11" s="610">
        <f>CT5</f>
        <v>173.02</v>
      </c>
      <c r="CU11" s="610">
        <f>CU5</f>
        <v>2488.32</v>
      </c>
      <c r="CV11" s="611">
        <f>CV5</f>
        <v>26271</v>
      </c>
      <c r="CW11" s="611">
        <f>CW5</f>
        <v>40636.32</v>
      </c>
      <c r="CX11" s="146">
        <v>935.08</v>
      </c>
      <c r="CY11" s="146">
        <v>0</v>
      </c>
      <c r="CZ11" s="146">
        <v>49.58</v>
      </c>
      <c r="DA11" s="146">
        <v>2148.01</v>
      </c>
      <c r="DB11" s="684">
        <v>3132.67</v>
      </c>
      <c r="DC11" s="149">
        <v>878.08</v>
      </c>
      <c r="DD11" s="612"/>
      <c r="DE11" s="612">
        <f>DE5</f>
        <v>218.2</v>
      </c>
      <c r="DF11" s="612">
        <f>DF5</f>
        <v>2804.47</v>
      </c>
      <c r="DG11" s="1316">
        <v>3900.75</v>
      </c>
      <c r="DH11" s="7"/>
      <c r="DI11" s="8"/>
      <c r="DJ11" s="8"/>
      <c r="DK11" s="8"/>
      <c r="DL11" s="1"/>
      <c r="DM11" s="149"/>
      <c r="DN11" s="150"/>
      <c r="DO11" s="150"/>
      <c r="DP11" s="150"/>
      <c r="DQ11" s="151"/>
    </row>
    <row r="12" spans="1:121" ht="14.25">
      <c r="A12" s="630" t="s">
        <v>260</v>
      </c>
      <c r="B12" s="382"/>
      <c r="C12" s="101"/>
      <c r="D12" s="101"/>
      <c r="E12" s="101"/>
      <c r="F12" s="102"/>
      <c r="G12" s="2"/>
      <c r="H12" s="3"/>
      <c r="I12" s="3"/>
      <c r="J12" s="3"/>
      <c r="K12" s="1">
        <v>0</v>
      </c>
      <c r="L12" s="29"/>
      <c r="M12" s="3"/>
      <c r="N12" s="3"/>
      <c r="O12" s="3"/>
      <c r="P12" s="4"/>
      <c r="Q12" s="2">
        <f>Q5</f>
        <v>7373.3</v>
      </c>
      <c r="R12" s="2">
        <f>R5</f>
        <v>16.67</v>
      </c>
      <c r="S12" s="2">
        <f>S5</f>
        <v>1378.13</v>
      </c>
      <c r="T12" s="2">
        <f>T5</f>
        <v>17620.1</v>
      </c>
      <c r="U12" s="2">
        <f>U5</f>
        <v>26388.19</v>
      </c>
      <c r="V12" s="2"/>
      <c r="W12" s="3"/>
      <c r="X12" s="3"/>
      <c r="Y12" s="3"/>
      <c r="Z12" s="4"/>
      <c r="AA12" s="2">
        <v>250</v>
      </c>
      <c r="AB12" s="607">
        <v>0</v>
      </c>
      <c r="AC12" s="3">
        <v>17.5</v>
      </c>
      <c r="AD12" s="3"/>
      <c r="AE12" s="4"/>
      <c r="AF12" s="2"/>
      <c r="AG12" s="3"/>
      <c r="AH12" s="3"/>
      <c r="AI12" s="3"/>
      <c r="AJ12" s="143"/>
      <c r="AK12" s="29"/>
      <c r="AL12" s="3"/>
      <c r="AM12" s="3"/>
      <c r="AN12" s="3"/>
      <c r="AO12" s="4"/>
      <c r="AP12" s="2"/>
      <c r="AQ12" s="3"/>
      <c r="AR12" s="3"/>
      <c r="AS12" s="3"/>
      <c r="AT12" s="351"/>
      <c r="AU12" s="2">
        <v>22.4</v>
      </c>
      <c r="AV12" s="3"/>
      <c r="AW12" s="3"/>
      <c r="AX12" s="3"/>
      <c r="AY12" s="3">
        <v>22.4</v>
      </c>
      <c r="AZ12" s="3"/>
      <c r="BA12" s="585"/>
      <c r="BB12" s="3"/>
      <c r="BC12" s="3"/>
      <c r="BD12" s="351"/>
      <c r="BE12" s="2"/>
      <c r="BF12" s="3"/>
      <c r="BG12" s="3"/>
      <c r="BH12" s="3"/>
      <c r="BI12" s="4"/>
      <c r="BJ12" s="2"/>
      <c r="BK12" s="3"/>
      <c r="BL12" s="3"/>
      <c r="BM12" s="3"/>
      <c r="BN12" s="4"/>
      <c r="BO12" s="2"/>
      <c r="BP12" s="3"/>
      <c r="BQ12" s="3"/>
      <c r="BR12" s="3"/>
      <c r="BS12" s="4"/>
      <c r="BT12" s="29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51"/>
      <c r="CI12" s="2"/>
      <c r="CJ12" s="3"/>
      <c r="CK12" s="3"/>
      <c r="CL12" s="3"/>
      <c r="CM12" s="4"/>
      <c r="CN12" s="35"/>
      <c r="CO12" s="3"/>
      <c r="CP12" s="3"/>
      <c r="CQ12" s="3"/>
      <c r="CR12" s="4"/>
      <c r="CS12" s="23"/>
      <c r="CT12" s="24"/>
      <c r="CU12" s="24"/>
      <c r="CV12" s="24"/>
      <c r="CW12" s="25"/>
      <c r="CX12" s="582"/>
      <c r="CY12" s="353"/>
      <c r="CZ12" s="353"/>
      <c r="DA12" s="353"/>
      <c r="DB12" s="464"/>
      <c r="DC12" s="583">
        <v>39.6</v>
      </c>
      <c r="DD12" s="354"/>
      <c r="DE12" s="354"/>
      <c r="DF12" s="354"/>
      <c r="DG12" s="1315"/>
      <c r="DH12" s="2">
        <v>0</v>
      </c>
      <c r="DI12" s="3">
        <v>0</v>
      </c>
      <c r="DJ12" s="3">
        <v>0</v>
      </c>
      <c r="DK12" s="3">
        <v>0</v>
      </c>
      <c r="DL12" s="1">
        <v>0</v>
      </c>
      <c r="DM12" s="583"/>
      <c r="DN12" s="354"/>
      <c r="DO12" s="354"/>
      <c r="DP12" s="354"/>
      <c r="DQ12" s="467"/>
    </row>
    <row r="13" spans="1:121" ht="14.25">
      <c r="A13" s="630" t="s">
        <v>261</v>
      </c>
      <c r="B13" s="382"/>
      <c r="C13" s="101"/>
      <c r="D13" s="101"/>
      <c r="E13" s="101"/>
      <c r="F13" s="102"/>
      <c r="G13" s="2"/>
      <c r="H13" s="3"/>
      <c r="I13" s="3"/>
      <c r="J13" s="3"/>
      <c r="K13" s="1">
        <v>0</v>
      </c>
      <c r="L13" s="29"/>
      <c r="M13" s="3"/>
      <c r="N13" s="3"/>
      <c r="O13" s="3"/>
      <c r="P13" s="4"/>
      <c r="Q13" s="2"/>
      <c r="R13" s="3"/>
      <c r="S13" s="3"/>
      <c r="T13" s="3"/>
      <c r="U13" s="4"/>
      <c r="V13" s="2"/>
      <c r="W13" s="3"/>
      <c r="X13" s="3"/>
      <c r="Y13" s="3"/>
      <c r="Z13" s="4"/>
      <c r="AA13" s="584">
        <v>0.0015</v>
      </c>
      <c r="AB13" s="607">
        <v>0</v>
      </c>
      <c r="AC13" s="585">
        <v>1</v>
      </c>
      <c r="AD13" s="3"/>
      <c r="AE13" s="4"/>
      <c r="AF13" s="584"/>
      <c r="AG13" s="585"/>
      <c r="AH13" s="585"/>
      <c r="AI13" s="585"/>
      <c r="AJ13" s="586"/>
      <c r="AK13" s="29"/>
      <c r="AL13" s="3"/>
      <c r="AM13" s="3"/>
      <c r="AN13" s="3"/>
      <c r="AO13" s="4"/>
      <c r="AP13" s="2"/>
      <c r="AQ13" s="3"/>
      <c r="AR13" s="3"/>
      <c r="AS13" s="3"/>
      <c r="AT13" s="351"/>
      <c r="AU13" s="2">
        <v>3.76</v>
      </c>
      <c r="AV13" s="3"/>
      <c r="AW13" s="3"/>
      <c r="AX13" s="3"/>
      <c r="AY13" s="585">
        <v>0.0376</v>
      </c>
      <c r="AZ13" s="585">
        <v>0</v>
      </c>
      <c r="BA13" s="585">
        <v>0</v>
      </c>
      <c r="BB13" s="585">
        <v>0</v>
      </c>
      <c r="BC13" s="585">
        <v>0</v>
      </c>
      <c r="BD13" s="853">
        <v>0</v>
      </c>
      <c r="BE13" s="2"/>
      <c r="BF13" s="3"/>
      <c r="BG13" s="3"/>
      <c r="BH13" s="3"/>
      <c r="BI13" s="4"/>
      <c r="BJ13" s="584"/>
      <c r="BK13" s="585"/>
      <c r="BL13" s="585"/>
      <c r="BM13" s="585"/>
      <c r="BN13" s="590"/>
      <c r="BO13" s="2"/>
      <c r="BP13" s="3"/>
      <c r="BQ13" s="3"/>
      <c r="BR13" s="3"/>
      <c r="BS13" s="4"/>
      <c r="BT13" s="29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51"/>
      <c r="CI13" s="2"/>
      <c r="CJ13" s="3"/>
      <c r="CK13" s="3"/>
      <c r="CL13" s="3"/>
      <c r="CM13" s="4"/>
      <c r="CN13" s="35"/>
      <c r="CO13" s="3"/>
      <c r="CP13" s="3"/>
      <c r="CQ13" s="3"/>
      <c r="CR13" s="4"/>
      <c r="CS13" s="23"/>
      <c r="CT13" s="24"/>
      <c r="CU13" s="24"/>
      <c r="CV13" s="24"/>
      <c r="CW13" s="25"/>
      <c r="CX13" s="582"/>
      <c r="CY13" s="353"/>
      <c r="CZ13" s="353"/>
      <c r="DA13" s="353"/>
      <c r="DB13" s="464"/>
      <c r="DC13" s="583">
        <v>0.0451</v>
      </c>
      <c r="DD13" s="354"/>
      <c r="DE13" s="354"/>
      <c r="DF13" s="354"/>
      <c r="DG13" s="1315"/>
      <c r="DH13" s="2"/>
      <c r="DI13" s="3"/>
      <c r="DJ13" s="3"/>
      <c r="DK13" s="3"/>
      <c r="DL13" s="1"/>
      <c r="DM13" s="583"/>
      <c r="DN13" s="354"/>
      <c r="DO13" s="354"/>
      <c r="DP13" s="354"/>
      <c r="DQ13" s="467"/>
    </row>
    <row r="14" spans="1:121" ht="15" thickBot="1">
      <c r="A14" s="631" t="s">
        <v>223</v>
      </c>
      <c r="B14" s="628"/>
      <c r="C14" s="591"/>
      <c r="D14" s="591"/>
      <c r="E14" s="591"/>
      <c r="F14" s="620"/>
      <c r="G14" s="592"/>
      <c r="H14" s="13"/>
      <c r="I14" s="13"/>
      <c r="J14" s="13"/>
      <c r="K14" s="746">
        <v>0</v>
      </c>
      <c r="L14" s="595"/>
      <c r="M14" s="13"/>
      <c r="N14" s="13"/>
      <c r="O14" s="13"/>
      <c r="P14" s="593"/>
      <c r="Q14" s="592"/>
      <c r="R14" s="13"/>
      <c r="S14" s="13"/>
      <c r="T14" s="13"/>
      <c r="U14" s="593"/>
      <c r="V14" s="592"/>
      <c r="W14" s="13"/>
      <c r="X14" s="13"/>
      <c r="Y14" s="13"/>
      <c r="Z14" s="593"/>
      <c r="AA14" s="592"/>
      <c r="AB14" s="1176">
        <v>0</v>
      </c>
      <c r="AC14" s="13"/>
      <c r="AD14" s="13"/>
      <c r="AE14" s="593"/>
      <c r="AF14" s="592"/>
      <c r="AG14" s="13"/>
      <c r="AH14" s="13"/>
      <c r="AI14" s="13"/>
      <c r="AJ14" s="746"/>
      <c r="AK14" s="595"/>
      <c r="AL14" s="13"/>
      <c r="AM14" s="13"/>
      <c r="AN14" s="13"/>
      <c r="AO14" s="593"/>
      <c r="AP14" s="592"/>
      <c r="AQ14" s="13"/>
      <c r="AR14" s="13"/>
      <c r="AS14" s="13"/>
      <c r="AT14" s="594"/>
      <c r="AU14" s="592"/>
      <c r="AV14" s="13"/>
      <c r="AW14" s="13"/>
      <c r="AX14" s="13"/>
      <c r="AY14" s="13"/>
      <c r="AZ14" s="13"/>
      <c r="BA14" s="13"/>
      <c r="BB14" s="13"/>
      <c r="BC14" s="13"/>
      <c r="BD14" s="594"/>
      <c r="BE14" s="592"/>
      <c r="BF14" s="13"/>
      <c r="BG14" s="13"/>
      <c r="BH14" s="13"/>
      <c r="BI14" s="593"/>
      <c r="BJ14" s="592"/>
      <c r="BK14" s="13"/>
      <c r="BL14" s="13"/>
      <c r="BM14" s="13"/>
      <c r="BN14" s="593"/>
      <c r="BO14" s="592"/>
      <c r="BP14" s="13"/>
      <c r="BQ14" s="13"/>
      <c r="BR14" s="13"/>
      <c r="BS14" s="593"/>
      <c r="BT14" s="595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594"/>
      <c r="CI14" s="592"/>
      <c r="CJ14" s="13"/>
      <c r="CK14" s="13"/>
      <c r="CL14" s="13"/>
      <c r="CM14" s="593"/>
      <c r="CN14" s="93"/>
      <c r="CO14" s="13"/>
      <c r="CP14" s="13"/>
      <c r="CQ14" s="13"/>
      <c r="CR14" s="593"/>
      <c r="CS14" s="596"/>
      <c r="CT14" s="597"/>
      <c r="CU14" s="597"/>
      <c r="CV14" s="597"/>
      <c r="CW14" s="598"/>
      <c r="CX14" s="599">
        <v>20</v>
      </c>
      <c r="CY14" s="600"/>
      <c r="CZ14" s="600"/>
      <c r="DA14" s="600"/>
      <c r="DB14" s="601">
        <v>20</v>
      </c>
      <c r="DC14" s="602"/>
      <c r="DD14" s="471"/>
      <c r="DE14" s="471"/>
      <c r="DF14" s="471"/>
      <c r="DG14" s="1317"/>
      <c r="DH14" s="592"/>
      <c r="DI14" s="13"/>
      <c r="DJ14" s="13"/>
      <c r="DK14" s="13"/>
      <c r="DL14" s="746"/>
      <c r="DM14" s="602"/>
      <c r="DN14" s="471"/>
      <c r="DO14" s="471"/>
      <c r="DP14" s="471"/>
      <c r="DQ14" s="472"/>
    </row>
  </sheetData>
  <sheetProtection/>
  <mergeCells count="27">
    <mergeCell ref="CX3:DB3"/>
    <mergeCell ref="AP3:AT3"/>
    <mergeCell ref="AU3:AY3"/>
    <mergeCell ref="AZ3:BD3"/>
    <mergeCell ref="DH3:DL3"/>
    <mergeCell ref="DC3:DG3"/>
    <mergeCell ref="BO3:BS3"/>
    <mergeCell ref="CD3:CH3"/>
    <mergeCell ref="BE3:BI3"/>
    <mergeCell ref="CS3:CW3"/>
    <mergeCell ref="A1:DQ1"/>
    <mergeCell ref="A2:DQ2"/>
    <mergeCell ref="A3:A4"/>
    <mergeCell ref="B3:F3"/>
    <mergeCell ref="G3:K3"/>
    <mergeCell ref="L3:P3"/>
    <mergeCell ref="DM3:DQ3"/>
    <mergeCell ref="CI3:CM3"/>
    <mergeCell ref="CN3:CR3"/>
    <mergeCell ref="BY3:CC3"/>
    <mergeCell ref="Q3:U3"/>
    <mergeCell ref="V3:Z3"/>
    <mergeCell ref="AK3:AO3"/>
    <mergeCell ref="AA3:AE3"/>
    <mergeCell ref="AF3:AJ3"/>
    <mergeCell ref="BT3:BX3"/>
    <mergeCell ref="BJ3:BN3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4"/>
  <sheetViews>
    <sheetView zoomScalePageLayoutView="0" workbookViewId="0" topLeftCell="A1">
      <pane xSplit="1" topLeftCell="CS1" activePane="topRight" state="frozen"/>
      <selection pane="topLeft" activeCell="A1" sqref="A1"/>
      <selection pane="topRight" activeCell="CQ19" sqref="CQ19"/>
    </sheetView>
  </sheetViews>
  <sheetFormatPr defaultColWidth="9.140625" defaultRowHeight="15"/>
  <cols>
    <col min="1" max="1" width="74.00390625" style="140" customWidth="1"/>
    <col min="2" max="3" width="11.421875" style="140" bestFit="1" customWidth="1"/>
    <col min="4" max="5" width="12.421875" style="140" bestFit="1" customWidth="1"/>
    <col min="6" max="7" width="11.421875" style="140" bestFit="1" customWidth="1"/>
    <col min="8" max="9" width="12.421875" style="140" bestFit="1" customWidth="1"/>
    <col min="10" max="11" width="11.421875" style="140" bestFit="1" customWidth="1"/>
    <col min="12" max="13" width="12.421875" style="140" bestFit="1" customWidth="1"/>
    <col min="14" max="15" width="11.421875" style="140" bestFit="1" customWidth="1"/>
    <col min="16" max="17" width="12.421875" style="140" bestFit="1" customWidth="1"/>
    <col min="18" max="19" width="11.421875" style="140" bestFit="1" customWidth="1"/>
    <col min="20" max="21" width="12.421875" style="140" bestFit="1" customWidth="1"/>
    <col min="22" max="23" width="11.421875" style="140" bestFit="1" customWidth="1"/>
    <col min="24" max="25" width="12.421875" style="140" bestFit="1" customWidth="1"/>
    <col min="26" max="27" width="11.421875" style="140" bestFit="1" customWidth="1"/>
    <col min="28" max="29" width="12.421875" style="140" bestFit="1" customWidth="1"/>
    <col min="30" max="31" width="11.421875" style="140" bestFit="1" customWidth="1"/>
    <col min="32" max="33" width="12.421875" style="140" bestFit="1" customWidth="1"/>
    <col min="34" max="35" width="11.421875" style="140" bestFit="1" customWidth="1"/>
    <col min="36" max="37" width="12.421875" style="140" bestFit="1" customWidth="1"/>
    <col min="38" max="38" width="8.57421875" style="140" customWidth="1"/>
    <col min="39" max="39" width="9.8515625" style="140" customWidth="1"/>
    <col min="40" max="40" width="10.28125" style="140" customWidth="1"/>
    <col min="41" max="41" width="10.7109375" style="140" customWidth="1"/>
    <col min="42" max="43" width="11.421875" style="140" bestFit="1" customWidth="1"/>
    <col min="44" max="45" width="12.421875" style="140" bestFit="1" customWidth="1"/>
    <col min="46" max="47" width="11.421875" style="140" bestFit="1" customWidth="1"/>
    <col min="48" max="49" width="12.421875" style="140" bestFit="1" customWidth="1"/>
    <col min="50" max="51" width="11.421875" style="140" bestFit="1" customWidth="1"/>
    <col min="52" max="53" width="12.421875" style="140" bestFit="1" customWidth="1"/>
    <col min="54" max="55" width="11.421875" style="140" bestFit="1" customWidth="1"/>
    <col min="56" max="57" width="12.421875" style="140" bestFit="1" customWidth="1"/>
    <col min="58" max="59" width="11.421875" style="140" bestFit="1" customWidth="1"/>
    <col min="60" max="61" width="12.421875" style="140" bestFit="1" customWidth="1"/>
    <col min="62" max="63" width="11.421875" style="140" bestFit="1" customWidth="1"/>
    <col min="64" max="65" width="12.421875" style="140" bestFit="1" customWidth="1"/>
    <col min="66" max="67" width="11.421875" style="140" bestFit="1" customWidth="1"/>
    <col min="68" max="69" width="12.421875" style="140" bestFit="1" customWidth="1"/>
    <col min="70" max="71" width="11.421875" style="140" bestFit="1" customWidth="1"/>
    <col min="72" max="73" width="12.421875" style="140" bestFit="1" customWidth="1"/>
    <col min="74" max="75" width="11.421875" style="140" bestFit="1" customWidth="1"/>
    <col min="76" max="77" width="12.421875" style="140" bestFit="1" customWidth="1"/>
    <col min="78" max="79" width="11.421875" style="140" bestFit="1" customWidth="1"/>
    <col min="80" max="81" width="12.421875" style="140" bestFit="1" customWidth="1"/>
    <col min="82" max="83" width="11.421875" style="140" bestFit="1" customWidth="1"/>
    <col min="84" max="85" width="12.421875" style="140" bestFit="1" customWidth="1"/>
    <col min="86" max="87" width="11.421875" style="140" bestFit="1" customWidth="1"/>
    <col min="88" max="89" width="12.421875" style="140" bestFit="1" customWidth="1"/>
    <col min="90" max="91" width="11.421875" style="140" bestFit="1" customWidth="1"/>
    <col min="92" max="93" width="12.421875" style="140" bestFit="1" customWidth="1"/>
    <col min="94" max="95" width="11.421875" style="140" bestFit="1" customWidth="1"/>
    <col min="96" max="97" width="12.421875" style="140" bestFit="1" customWidth="1"/>
    <col min="98" max="99" width="11.421875" style="140" bestFit="1" customWidth="1"/>
    <col min="100" max="101" width="12.421875" style="140" bestFit="1" customWidth="1"/>
    <col min="102" max="103" width="11.421875" style="140" bestFit="1" customWidth="1"/>
    <col min="104" max="105" width="12.421875" style="140" bestFit="1" customWidth="1"/>
    <col min="106" max="16384" width="9.140625" style="140" customWidth="1"/>
  </cols>
  <sheetData>
    <row r="1" spans="1:103" ht="13.5">
      <c r="A1" s="1780" t="s">
        <v>463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  <c r="L1" s="1780"/>
      <c r="M1" s="1780"/>
      <c r="N1" s="1780"/>
      <c r="O1" s="1780"/>
      <c r="P1" s="1780"/>
      <c r="Q1" s="1780"/>
      <c r="R1" s="1780"/>
      <c r="S1" s="1780"/>
      <c r="T1" s="1780"/>
      <c r="U1" s="1780"/>
      <c r="V1" s="1780"/>
      <c r="W1" s="1780"/>
      <c r="X1" s="1780"/>
      <c r="Y1" s="1780"/>
      <c r="Z1" s="1780"/>
      <c r="AA1" s="1780"/>
      <c r="AB1" s="1780"/>
      <c r="AC1" s="1780"/>
      <c r="AD1" s="1780"/>
      <c r="AE1" s="1780"/>
      <c r="AF1" s="1780"/>
      <c r="AG1" s="1780"/>
      <c r="AH1" s="1780"/>
      <c r="AI1" s="1780"/>
      <c r="AJ1" s="1780"/>
      <c r="AK1" s="1780"/>
      <c r="AL1" s="1780"/>
      <c r="AM1" s="1780"/>
      <c r="AN1" s="1780"/>
      <c r="AO1" s="1780"/>
      <c r="AP1" s="1780"/>
      <c r="AQ1" s="1780"/>
      <c r="AR1" s="1780"/>
      <c r="AS1" s="1780"/>
      <c r="AT1" s="1780"/>
      <c r="AU1" s="1780"/>
      <c r="AV1" s="1780"/>
      <c r="AW1" s="1780"/>
      <c r="AX1" s="1780"/>
      <c r="AY1" s="1780"/>
      <c r="AZ1" s="1780"/>
      <c r="BA1" s="1780"/>
      <c r="BB1" s="1780"/>
      <c r="BC1" s="1780"/>
      <c r="BD1" s="1780"/>
      <c r="BE1" s="1780"/>
      <c r="BF1" s="1780"/>
      <c r="BG1" s="1780"/>
      <c r="BH1" s="1780"/>
      <c r="BI1" s="1780"/>
      <c r="BJ1" s="1780"/>
      <c r="BK1" s="1780"/>
      <c r="BL1" s="1780"/>
      <c r="BM1" s="1780"/>
      <c r="BN1" s="1780"/>
      <c r="BO1" s="1780"/>
      <c r="BP1" s="1780"/>
      <c r="BQ1" s="1780"/>
      <c r="BR1" s="1780"/>
      <c r="BS1" s="1780"/>
      <c r="BT1" s="1780"/>
      <c r="BU1" s="1780"/>
      <c r="BV1" s="1780"/>
      <c r="BW1" s="1780"/>
      <c r="BX1" s="1780"/>
      <c r="BY1" s="1780"/>
      <c r="BZ1" s="1780"/>
      <c r="CA1" s="1780"/>
      <c r="CB1" s="1780"/>
      <c r="CC1" s="1780"/>
      <c r="CD1" s="1780"/>
      <c r="CE1" s="1780"/>
      <c r="CF1" s="1780"/>
      <c r="CG1" s="1780"/>
      <c r="CH1" s="1780"/>
      <c r="CI1" s="1780"/>
      <c r="CJ1" s="1780"/>
      <c r="CK1" s="1780"/>
      <c r="CL1" s="1780"/>
      <c r="CM1" s="1780"/>
      <c r="CN1" s="1780"/>
      <c r="CO1" s="1780"/>
      <c r="CP1" s="1780"/>
      <c r="CQ1" s="1780"/>
      <c r="CR1" s="1780"/>
      <c r="CS1" s="1780"/>
      <c r="CT1" s="1780"/>
      <c r="CU1" s="1780"/>
      <c r="CV1" s="1780"/>
      <c r="CW1" s="1780"/>
      <c r="CX1" s="1780"/>
      <c r="CY1" s="1780"/>
    </row>
    <row r="2" spans="1:103" ht="14.25" thickBot="1">
      <c r="A2" s="1707" t="s">
        <v>188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1707"/>
      <c r="O2" s="1707"/>
      <c r="P2" s="1707"/>
      <c r="Q2" s="1707"/>
      <c r="R2" s="1707"/>
      <c r="S2" s="1707"/>
      <c r="T2" s="1707"/>
      <c r="U2" s="1707"/>
      <c r="V2" s="1707"/>
      <c r="W2" s="1707"/>
      <c r="X2" s="1707"/>
      <c r="Y2" s="1707"/>
      <c r="Z2" s="1707"/>
      <c r="AA2" s="1707"/>
      <c r="AB2" s="1707"/>
      <c r="AC2" s="1707"/>
      <c r="AD2" s="1707"/>
      <c r="AE2" s="1707"/>
      <c r="AF2" s="1707"/>
      <c r="AG2" s="1707"/>
      <c r="AH2" s="1707"/>
      <c r="AI2" s="1707"/>
      <c r="AJ2" s="1707"/>
      <c r="AK2" s="1707"/>
      <c r="AL2" s="1707"/>
      <c r="AM2" s="1707"/>
      <c r="AN2" s="1707"/>
      <c r="AO2" s="1707"/>
      <c r="AP2" s="1707"/>
      <c r="AQ2" s="1707"/>
      <c r="AR2" s="1707"/>
      <c r="AS2" s="1707"/>
      <c r="AT2" s="1707"/>
      <c r="AU2" s="1707"/>
      <c r="AV2" s="1707"/>
      <c r="AW2" s="1707"/>
      <c r="AX2" s="1707"/>
      <c r="AY2" s="1707"/>
      <c r="AZ2" s="1707"/>
      <c r="BA2" s="1707"/>
      <c r="BB2" s="1707"/>
      <c r="BC2" s="1707"/>
      <c r="BD2" s="1707"/>
      <c r="BE2" s="1707"/>
      <c r="BF2" s="1707"/>
      <c r="BG2" s="1707"/>
      <c r="BH2" s="1707"/>
      <c r="BI2" s="1707"/>
      <c r="BJ2" s="1707"/>
      <c r="BK2" s="1707"/>
      <c r="BL2" s="1707"/>
      <c r="BM2" s="1707"/>
      <c r="BN2" s="1707"/>
      <c r="BO2" s="1707"/>
      <c r="BP2" s="1707"/>
      <c r="BQ2" s="1707"/>
      <c r="BR2" s="1707"/>
      <c r="BS2" s="1707"/>
      <c r="BT2" s="1707"/>
      <c r="BU2" s="1707"/>
      <c r="BV2" s="1707"/>
      <c r="BW2" s="1707"/>
      <c r="BX2" s="1707"/>
      <c r="BY2" s="1707"/>
      <c r="BZ2" s="1707"/>
      <c r="CA2" s="1707"/>
      <c r="CB2" s="1707"/>
      <c r="CC2" s="1707"/>
      <c r="CD2" s="1707"/>
      <c r="CE2" s="1707"/>
      <c r="CF2" s="1707"/>
      <c r="CG2" s="1707"/>
      <c r="CH2" s="1707"/>
      <c r="CI2" s="1707"/>
      <c r="CJ2" s="1707"/>
      <c r="CK2" s="1707"/>
      <c r="CL2" s="1707"/>
      <c r="CM2" s="1707"/>
      <c r="CN2" s="1707"/>
      <c r="CO2" s="1707"/>
      <c r="CP2" s="1707"/>
      <c r="CQ2" s="1707"/>
      <c r="CR2" s="1707"/>
      <c r="CS2" s="1707"/>
      <c r="CT2" s="1707"/>
      <c r="CU2" s="1707"/>
      <c r="CV2" s="1707"/>
      <c r="CW2" s="1707"/>
      <c r="CX2" s="1707"/>
      <c r="CY2" s="1707"/>
    </row>
    <row r="3" spans="1:105" s="1177" customFormat="1" ht="14.25" thickBot="1">
      <c r="A3" s="1817" t="s">
        <v>0</v>
      </c>
      <c r="B3" s="1819" t="s">
        <v>190</v>
      </c>
      <c r="C3" s="1820"/>
      <c r="D3" s="1820"/>
      <c r="E3" s="1821"/>
      <c r="F3" s="1809" t="s">
        <v>191</v>
      </c>
      <c r="G3" s="1809"/>
      <c r="H3" s="1809"/>
      <c r="I3" s="1809"/>
      <c r="J3" s="1810" t="s">
        <v>192</v>
      </c>
      <c r="K3" s="1809"/>
      <c r="L3" s="1809"/>
      <c r="M3" s="1811"/>
      <c r="N3" s="1822" t="s">
        <v>193</v>
      </c>
      <c r="O3" s="1823"/>
      <c r="P3" s="1823"/>
      <c r="Q3" s="1824"/>
      <c r="R3" s="1809" t="s">
        <v>194</v>
      </c>
      <c r="S3" s="1809"/>
      <c r="T3" s="1809"/>
      <c r="U3" s="1809"/>
      <c r="V3" s="1810" t="s">
        <v>195</v>
      </c>
      <c r="W3" s="1809"/>
      <c r="X3" s="1809"/>
      <c r="Y3" s="1811"/>
      <c r="Z3" s="1812" t="s">
        <v>196</v>
      </c>
      <c r="AA3" s="1813"/>
      <c r="AB3" s="1813"/>
      <c r="AC3" s="1814"/>
      <c r="AD3" s="1812" t="s">
        <v>197</v>
      </c>
      <c r="AE3" s="1813"/>
      <c r="AF3" s="1813"/>
      <c r="AG3" s="1815"/>
      <c r="AH3" s="1812" t="s">
        <v>198</v>
      </c>
      <c r="AI3" s="1813"/>
      <c r="AJ3" s="1813"/>
      <c r="AK3" s="1815"/>
      <c r="AL3" s="1809" t="s">
        <v>199</v>
      </c>
      <c r="AM3" s="1809"/>
      <c r="AN3" s="1809"/>
      <c r="AO3" s="1809"/>
      <c r="AP3" s="1810" t="s">
        <v>200</v>
      </c>
      <c r="AQ3" s="1809"/>
      <c r="AR3" s="1809"/>
      <c r="AS3" s="1811"/>
      <c r="AT3" s="1810" t="s">
        <v>201</v>
      </c>
      <c r="AU3" s="1809"/>
      <c r="AV3" s="1809"/>
      <c r="AW3" s="1811"/>
      <c r="AX3" s="1810" t="s">
        <v>202</v>
      </c>
      <c r="AY3" s="1809"/>
      <c r="AZ3" s="1809"/>
      <c r="BA3" s="1811"/>
      <c r="BB3" s="1812" t="s">
        <v>203</v>
      </c>
      <c r="BC3" s="1813"/>
      <c r="BD3" s="1813"/>
      <c r="BE3" s="1815"/>
      <c r="BF3" s="1816" t="s">
        <v>204</v>
      </c>
      <c r="BG3" s="1816"/>
      <c r="BH3" s="1816"/>
      <c r="BI3" s="1816"/>
      <c r="BJ3" s="1810" t="s">
        <v>205</v>
      </c>
      <c r="BK3" s="1809"/>
      <c r="BL3" s="1809"/>
      <c r="BM3" s="1811"/>
      <c r="BN3" s="1810" t="s">
        <v>206</v>
      </c>
      <c r="BO3" s="1809"/>
      <c r="BP3" s="1809"/>
      <c r="BQ3" s="1811"/>
      <c r="BR3" s="1810" t="s">
        <v>207</v>
      </c>
      <c r="BS3" s="1809"/>
      <c r="BT3" s="1809"/>
      <c r="BU3" s="1811"/>
      <c r="BV3" s="1828" t="s">
        <v>208</v>
      </c>
      <c r="BW3" s="1816"/>
      <c r="BX3" s="1816"/>
      <c r="BY3" s="1829"/>
      <c r="BZ3" s="1810" t="s">
        <v>209</v>
      </c>
      <c r="CA3" s="1809"/>
      <c r="CB3" s="1809"/>
      <c r="CC3" s="1811"/>
      <c r="CD3" s="1810" t="s">
        <v>210</v>
      </c>
      <c r="CE3" s="1809"/>
      <c r="CF3" s="1809"/>
      <c r="CG3" s="1811"/>
      <c r="CH3" s="1810" t="s">
        <v>211</v>
      </c>
      <c r="CI3" s="1809"/>
      <c r="CJ3" s="1809"/>
      <c r="CK3" s="1811"/>
      <c r="CL3" s="1809" t="s">
        <v>212</v>
      </c>
      <c r="CM3" s="1809"/>
      <c r="CN3" s="1809"/>
      <c r="CO3" s="1811"/>
      <c r="CP3" s="1810" t="s">
        <v>1</v>
      </c>
      <c r="CQ3" s="1809"/>
      <c r="CR3" s="1809"/>
      <c r="CS3" s="1811"/>
      <c r="CT3" s="1828" t="s">
        <v>213</v>
      </c>
      <c r="CU3" s="1816"/>
      <c r="CV3" s="1816"/>
      <c r="CW3" s="1829"/>
      <c r="CX3" s="1825" t="s">
        <v>2</v>
      </c>
      <c r="CY3" s="1826"/>
      <c r="CZ3" s="1826"/>
      <c r="DA3" s="1827"/>
    </row>
    <row r="4" spans="1:105" s="868" customFormat="1" ht="15" thickBot="1">
      <c r="A4" s="1818"/>
      <c r="B4" s="863" t="s">
        <v>285</v>
      </c>
      <c r="C4" s="864" t="s">
        <v>286</v>
      </c>
      <c r="D4" s="864" t="s">
        <v>287</v>
      </c>
      <c r="E4" s="865" t="s">
        <v>288</v>
      </c>
      <c r="F4" s="863" t="s">
        <v>285</v>
      </c>
      <c r="G4" s="864" t="s">
        <v>286</v>
      </c>
      <c r="H4" s="864" t="s">
        <v>287</v>
      </c>
      <c r="I4" s="865" t="s">
        <v>288</v>
      </c>
      <c r="J4" s="863" t="s">
        <v>285</v>
      </c>
      <c r="K4" s="864" t="s">
        <v>286</v>
      </c>
      <c r="L4" s="864" t="s">
        <v>287</v>
      </c>
      <c r="M4" s="865" t="s">
        <v>288</v>
      </c>
      <c r="N4" s="863" t="s">
        <v>285</v>
      </c>
      <c r="O4" s="864" t="s">
        <v>286</v>
      </c>
      <c r="P4" s="864" t="s">
        <v>287</v>
      </c>
      <c r="Q4" s="865" t="s">
        <v>288</v>
      </c>
      <c r="R4" s="863" t="s">
        <v>285</v>
      </c>
      <c r="S4" s="864" t="s">
        <v>286</v>
      </c>
      <c r="T4" s="864" t="s">
        <v>287</v>
      </c>
      <c r="U4" s="866" t="s">
        <v>288</v>
      </c>
      <c r="V4" s="863" t="s">
        <v>285</v>
      </c>
      <c r="W4" s="864" t="s">
        <v>286</v>
      </c>
      <c r="X4" s="864" t="s">
        <v>287</v>
      </c>
      <c r="Y4" s="865" t="s">
        <v>288</v>
      </c>
      <c r="Z4" s="863" t="s">
        <v>285</v>
      </c>
      <c r="AA4" s="864" t="s">
        <v>286</v>
      </c>
      <c r="AB4" s="864" t="s">
        <v>287</v>
      </c>
      <c r="AC4" s="866" t="s">
        <v>288</v>
      </c>
      <c r="AD4" s="863" t="s">
        <v>285</v>
      </c>
      <c r="AE4" s="864" t="s">
        <v>286</v>
      </c>
      <c r="AF4" s="864" t="s">
        <v>287</v>
      </c>
      <c r="AG4" s="865" t="s">
        <v>288</v>
      </c>
      <c r="AH4" s="863" t="s">
        <v>285</v>
      </c>
      <c r="AI4" s="864" t="s">
        <v>286</v>
      </c>
      <c r="AJ4" s="864" t="s">
        <v>287</v>
      </c>
      <c r="AK4" s="865" t="s">
        <v>288</v>
      </c>
      <c r="AL4" s="863" t="s">
        <v>285</v>
      </c>
      <c r="AM4" s="864" t="s">
        <v>286</v>
      </c>
      <c r="AN4" s="864" t="s">
        <v>287</v>
      </c>
      <c r="AO4" s="866" t="s">
        <v>288</v>
      </c>
      <c r="AP4" s="863" t="s">
        <v>285</v>
      </c>
      <c r="AQ4" s="864" t="s">
        <v>286</v>
      </c>
      <c r="AR4" s="864" t="s">
        <v>287</v>
      </c>
      <c r="AS4" s="865" t="s">
        <v>288</v>
      </c>
      <c r="AT4" s="863" t="s">
        <v>285</v>
      </c>
      <c r="AU4" s="864" t="s">
        <v>286</v>
      </c>
      <c r="AV4" s="864" t="s">
        <v>287</v>
      </c>
      <c r="AW4" s="865" t="s">
        <v>288</v>
      </c>
      <c r="AX4" s="863" t="s">
        <v>285</v>
      </c>
      <c r="AY4" s="864" t="s">
        <v>286</v>
      </c>
      <c r="AZ4" s="864" t="s">
        <v>287</v>
      </c>
      <c r="BA4" s="865" t="s">
        <v>288</v>
      </c>
      <c r="BB4" s="863" t="s">
        <v>285</v>
      </c>
      <c r="BC4" s="864" t="s">
        <v>286</v>
      </c>
      <c r="BD4" s="864" t="s">
        <v>287</v>
      </c>
      <c r="BE4" s="865" t="s">
        <v>288</v>
      </c>
      <c r="BF4" s="863" t="s">
        <v>285</v>
      </c>
      <c r="BG4" s="864" t="s">
        <v>286</v>
      </c>
      <c r="BH4" s="864" t="s">
        <v>287</v>
      </c>
      <c r="BI4" s="866" t="s">
        <v>288</v>
      </c>
      <c r="BJ4" s="863" t="s">
        <v>285</v>
      </c>
      <c r="BK4" s="864" t="s">
        <v>286</v>
      </c>
      <c r="BL4" s="864" t="s">
        <v>287</v>
      </c>
      <c r="BM4" s="865" t="s">
        <v>288</v>
      </c>
      <c r="BN4" s="863" t="s">
        <v>285</v>
      </c>
      <c r="BO4" s="864" t="s">
        <v>286</v>
      </c>
      <c r="BP4" s="864" t="s">
        <v>287</v>
      </c>
      <c r="BQ4" s="865" t="s">
        <v>288</v>
      </c>
      <c r="BR4" s="863" t="s">
        <v>285</v>
      </c>
      <c r="BS4" s="864" t="s">
        <v>286</v>
      </c>
      <c r="BT4" s="864" t="s">
        <v>287</v>
      </c>
      <c r="BU4" s="865" t="s">
        <v>288</v>
      </c>
      <c r="BV4" s="863" t="s">
        <v>285</v>
      </c>
      <c r="BW4" s="864" t="s">
        <v>286</v>
      </c>
      <c r="BX4" s="864" t="s">
        <v>287</v>
      </c>
      <c r="BY4" s="865" t="s">
        <v>288</v>
      </c>
      <c r="BZ4" s="863" t="s">
        <v>285</v>
      </c>
      <c r="CA4" s="864" t="s">
        <v>286</v>
      </c>
      <c r="CB4" s="864" t="s">
        <v>287</v>
      </c>
      <c r="CC4" s="865" t="s">
        <v>288</v>
      </c>
      <c r="CD4" s="863" t="s">
        <v>285</v>
      </c>
      <c r="CE4" s="864" t="s">
        <v>286</v>
      </c>
      <c r="CF4" s="864" t="s">
        <v>287</v>
      </c>
      <c r="CG4" s="865" t="s">
        <v>288</v>
      </c>
      <c r="CH4" s="863" t="s">
        <v>285</v>
      </c>
      <c r="CI4" s="864" t="s">
        <v>286</v>
      </c>
      <c r="CJ4" s="864" t="s">
        <v>287</v>
      </c>
      <c r="CK4" s="865" t="s">
        <v>288</v>
      </c>
      <c r="CL4" s="867" t="s">
        <v>285</v>
      </c>
      <c r="CM4" s="864" t="s">
        <v>286</v>
      </c>
      <c r="CN4" s="864" t="s">
        <v>287</v>
      </c>
      <c r="CO4" s="865" t="s">
        <v>288</v>
      </c>
      <c r="CP4" s="863" t="s">
        <v>285</v>
      </c>
      <c r="CQ4" s="864" t="s">
        <v>286</v>
      </c>
      <c r="CR4" s="864" t="s">
        <v>287</v>
      </c>
      <c r="CS4" s="865" t="s">
        <v>288</v>
      </c>
      <c r="CT4" s="863" t="s">
        <v>285</v>
      </c>
      <c r="CU4" s="864" t="s">
        <v>286</v>
      </c>
      <c r="CV4" s="864" t="s">
        <v>287</v>
      </c>
      <c r="CW4" s="865" t="s">
        <v>288</v>
      </c>
      <c r="CX4" s="863" t="s">
        <v>285</v>
      </c>
      <c r="CY4" s="864" t="s">
        <v>286</v>
      </c>
      <c r="CZ4" s="864" t="s">
        <v>287</v>
      </c>
      <c r="DA4" s="865" t="s">
        <v>288</v>
      </c>
    </row>
    <row r="5" spans="1:105" s="144" customFormat="1" ht="15" customHeight="1">
      <c r="A5" s="155" t="s">
        <v>6</v>
      </c>
      <c r="B5" s="606">
        <v>12.22</v>
      </c>
      <c r="C5" s="607">
        <v>12.5</v>
      </c>
      <c r="D5" s="607">
        <v>52.2</v>
      </c>
      <c r="E5" s="608">
        <v>33.88</v>
      </c>
      <c r="F5" s="614"/>
      <c r="G5" s="607"/>
      <c r="H5" s="607"/>
      <c r="I5" s="613"/>
      <c r="J5" s="606">
        <v>0.18</v>
      </c>
      <c r="K5" s="607">
        <v>0.74</v>
      </c>
      <c r="L5" s="607">
        <v>0.25</v>
      </c>
      <c r="M5" s="608">
        <v>0.86</v>
      </c>
      <c r="N5" s="606">
        <v>0</v>
      </c>
      <c r="O5" s="607">
        <v>0</v>
      </c>
      <c r="P5" s="607">
        <v>5</v>
      </c>
      <c r="Q5" s="608">
        <v>1</v>
      </c>
      <c r="R5" s="614"/>
      <c r="S5" s="607"/>
      <c r="T5" s="607"/>
      <c r="U5" s="613"/>
      <c r="V5" s="606"/>
      <c r="W5" s="607"/>
      <c r="X5" s="607"/>
      <c r="Y5" s="608"/>
      <c r="Z5" s="606"/>
      <c r="AA5" s="607"/>
      <c r="AB5" s="607"/>
      <c r="AC5" s="613"/>
      <c r="AD5" s="606">
        <v>2.07</v>
      </c>
      <c r="AE5" s="607">
        <v>0.05</v>
      </c>
      <c r="AF5" s="607">
        <v>2.16</v>
      </c>
      <c r="AG5" s="608">
        <v>0.04</v>
      </c>
      <c r="AH5" s="606"/>
      <c r="AI5" s="607"/>
      <c r="AJ5" s="607"/>
      <c r="AK5" s="608"/>
      <c r="AL5" s="614">
        <v>2.54</v>
      </c>
      <c r="AM5" s="607">
        <v>0.04</v>
      </c>
      <c r="AN5" s="607">
        <v>9.56</v>
      </c>
      <c r="AO5" s="613">
        <v>0.2</v>
      </c>
      <c r="AP5" s="606">
        <v>3.25</v>
      </c>
      <c r="AQ5" s="607">
        <v>11.24</v>
      </c>
      <c r="AR5" s="607">
        <v>19.54</v>
      </c>
      <c r="AS5" s="608">
        <v>11.92</v>
      </c>
      <c r="AT5" s="606">
        <v>15</v>
      </c>
      <c r="AU5" s="607">
        <v>1</v>
      </c>
      <c r="AV5" s="607">
        <v>31</v>
      </c>
      <c r="AW5" s="608">
        <v>2</v>
      </c>
      <c r="AX5" s="606"/>
      <c r="AY5" s="607"/>
      <c r="AZ5" s="607"/>
      <c r="BA5" s="608"/>
      <c r="BB5" s="688">
        <v>0</v>
      </c>
      <c r="BC5" s="762">
        <v>0</v>
      </c>
      <c r="BD5" s="762">
        <v>0</v>
      </c>
      <c r="BE5" s="763">
        <v>0</v>
      </c>
      <c r="BF5" s="614">
        <v>0.02</v>
      </c>
      <c r="BG5" s="607">
        <v>0.01</v>
      </c>
      <c r="BH5" s="607">
        <v>0.02</v>
      </c>
      <c r="BI5" s="613">
        <v>4.09</v>
      </c>
      <c r="BJ5" s="606">
        <v>13.11</v>
      </c>
      <c r="BK5" s="607">
        <v>2.55</v>
      </c>
      <c r="BL5" s="607">
        <v>28.74</v>
      </c>
      <c r="BM5" s="608">
        <v>3.77</v>
      </c>
      <c r="BN5" s="606">
        <v>0.02</v>
      </c>
      <c r="BO5" s="607">
        <v>0.01</v>
      </c>
      <c r="BP5" s="607">
        <v>0.32</v>
      </c>
      <c r="BQ5" s="608">
        <v>0.47</v>
      </c>
      <c r="BR5" s="606"/>
      <c r="BS5" s="607"/>
      <c r="BT5" s="607"/>
      <c r="BU5" s="608">
        <v>0.02</v>
      </c>
      <c r="BV5" s="606"/>
      <c r="BW5" s="607"/>
      <c r="BX5" s="607"/>
      <c r="BY5" s="608"/>
      <c r="BZ5" s="1322">
        <v>22</v>
      </c>
      <c r="CA5" s="134">
        <v>26</v>
      </c>
      <c r="CB5" s="134">
        <v>79</v>
      </c>
      <c r="CC5" s="135">
        <v>123</v>
      </c>
      <c r="CD5" s="606"/>
      <c r="CE5" s="607"/>
      <c r="CF5" s="607"/>
      <c r="CG5" s="608"/>
      <c r="CH5" s="606"/>
      <c r="CI5" s="607"/>
      <c r="CJ5" s="607"/>
      <c r="CK5" s="608">
        <v>0.02</v>
      </c>
      <c r="CL5" s="614">
        <v>1.11</v>
      </c>
      <c r="CM5" s="607">
        <v>0.16</v>
      </c>
      <c r="CN5" s="607">
        <v>4.32</v>
      </c>
      <c r="CO5" s="608">
        <v>1.47</v>
      </c>
      <c r="CP5" s="603">
        <f>SUM(B5+F5+J5+N5+R5+V5+Z5+AD5+AH5+AL5+AP5+AT5+AX5+AD5+BF5+BJ5+BN5+BR5+BV5+BZ5+CD5+CH5+CL5)</f>
        <v>73.59000000000002</v>
      </c>
      <c r="CQ5" s="603">
        <f aca="true" t="shared" si="0" ref="CQ5:CR14">SUM(C5+G5+K5+O5+S5+W5+AA5+AE5+AI5+AM5+AQ5+AU5+AY5+AE5+BG5+BK5+BO5+BS5+BW5+CA5+CE5+CI5+CM5)</f>
        <v>54.35</v>
      </c>
      <c r="CR5" s="603">
        <f t="shared" si="0"/>
        <v>234.26999999999998</v>
      </c>
      <c r="CS5" s="1318">
        <f>SUM(E5+I5+M5+Q5+U5+Y5+AC5+AG5+AK5+AO5+AS5+AW5+BA5+AG5+BI5+BM5+BQ5+BU5+BY5+CC5+CG5+CK5+CO5)</f>
        <v>182.78000000000003</v>
      </c>
      <c r="CT5" s="606">
        <v>1071.78</v>
      </c>
      <c r="CU5" s="607">
        <v>369.06</v>
      </c>
      <c r="CV5" s="607">
        <v>1992.21</v>
      </c>
      <c r="CW5" s="608">
        <v>816.42</v>
      </c>
      <c r="CX5" s="603">
        <f>CP5+CT5</f>
        <v>1145.37</v>
      </c>
      <c r="CY5" s="604">
        <f>CQ5+CU5</f>
        <v>423.41</v>
      </c>
      <c r="CZ5" s="604">
        <f>CR5+CV5</f>
        <v>2226.48</v>
      </c>
      <c r="DA5" s="605">
        <f>CS5+CW5</f>
        <v>999.2</v>
      </c>
    </row>
    <row r="6" spans="1:105" s="144" customFormat="1" ht="13.5">
      <c r="A6" s="155" t="s">
        <v>7</v>
      </c>
      <c r="B6" s="124">
        <v>22.77</v>
      </c>
      <c r="C6" s="57">
        <v>2.71</v>
      </c>
      <c r="D6" s="57">
        <v>56.51</v>
      </c>
      <c r="E6" s="143">
        <v>3.3</v>
      </c>
      <c r="F6" s="49"/>
      <c r="G6" s="8">
        <v>0.03</v>
      </c>
      <c r="H6" s="8"/>
      <c r="I6" s="145">
        <v>0.08</v>
      </c>
      <c r="J6" s="7">
        <v>0.0004</v>
      </c>
      <c r="K6" s="8"/>
      <c r="L6" s="8">
        <v>0.0004</v>
      </c>
      <c r="M6" s="9"/>
      <c r="N6" s="7">
        <v>174</v>
      </c>
      <c r="O6" s="8">
        <v>125</v>
      </c>
      <c r="P6" s="8">
        <v>430</v>
      </c>
      <c r="Q6" s="9">
        <v>130</v>
      </c>
      <c r="R6" s="49">
        <v>0.11</v>
      </c>
      <c r="S6" s="8"/>
      <c r="T6" s="8">
        <v>0.37</v>
      </c>
      <c r="U6" s="145"/>
      <c r="V6" s="7">
        <v>24.47</v>
      </c>
      <c r="W6" s="8">
        <v>18.04</v>
      </c>
      <c r="X6" s="8">
        <v>96.63</v>
      </c>
      <c r="Y6" s="9">
        <v>76.83</v>
      </c>
      <c r="Z6" s="7">
        <v>0.05</v>
      </c>
      <c r="AA6" s="8">
        <v>0.18</v>
      </c>
      <c r="AB6" s="8">
        <v>0.49</v>
      </c>
      <c r="AC6" s="145">
        <v>1.17</v>
      </c>
      <c r="AD6" s="7"/>
      <c r="AE6" s="8"/>
      <c r="AF6" s="8"/>
      <c r="AG6" s="9"/>
      <c r="AH6" s="7">
        <v>0.08</v>
      </c>
      <c r="AI6" s="8">
        <v>0.02</v>
      </c>
      <c r="AJ6" s="8">
        <v>0.16</v>
      </c>
      <c r="AK6" s="9">
        <v>0.02</v>
      </c>
      <c r="AL6" s="49">
        <v>17.24</v>
      </c>
      <c r="AM6" s="8">
        <v>0</v>
      </c>
      <c r="AN6" s="8">
        <v>47</v>
      </c>
      <c r="AO6" s="145">
        <v>0.37</v>
      </c>
      <c r="AP6" s="7">
        <v>300.63</v>
      </c>
      <c r="AQ6" s="8">
        <v>140.3</v>
      </c>
      <c r="AR6" s="8">
        <v>942.21</v>
      </c>
      <c r="AS6" s="9">
        <v>279.27</v>
      </c>
      <c r="AT6" s="7">
        <v>170</v>
      </c>
      <c r="AU6" s="8">
        <v>27</v>
      </c>
      <c r="AV6" s="8">
        <v>326</v>
      </c>
      <c r="AW6" s="9">
        <v>65</v>
      </c>
      <c r="AX6" s="136">
        <v>49.96</v>
      </c>
      <c r="AY6" s="137">
        <v>25.8</v>
      </c>
      <c r="AZ6" s="137">
        <v>123.52</v>
      </c>
      <c r="BA6" s="1325">
        <v>77.19</v>
      </c>
      <c r="BB6" s="687">
        <v>53.06</v>
      </c>
      <c r="BC6" s="760">
        <v>35.48</v>
      </c>
      <c r="BD6" s="760">
        <v>148.45</v>
      </c>
      <c r="BE6" s="761">
        <v>105.68</v>
      </c>
      <c r="BF6" s="49">
        <v>18.25</v>
      </c>
      <c r="BG6" s="8">
        <v>5.41</v>
      </c>
      <c r="BH6" s="8">
        <v>39.53</v>
      </c>
      <c r="BI6" s="145">
        <v>11.72</v>
      </c>
      <c r="BJ6" s="7">
        <v>99.19</v>
      </c>
      <c r="BK6" s="8">
        <v>95.71</v>
      </c>
      <c r="BL6" s="8">
        <v>312.84</v>
      </c>
      <c r="BM6" s="9">
        <v>298.8</v>
      </c>
      <c r="BN6" s="7">
        <v>58.68</v>
      </c>
      <c r="BO6" s="8">
        <v>34.1</v>
      </c>
      <c r="BP6" s="8">
        <v>163.73</v>
      </c>
      <c r="BQ6" s="9">
        <v>117.63</v>
      </c>
      <c r="BR6" s="7"/>
      <c r="BS6" s="8"/>
      <c r="BT6" s="8"/>
      <c r="BU6" s="9"/>
      <c r="BV6" s="154"/>
      <c r="BW6" s="8"/>
      <c r="BX6" s="8"/>
      <c r="BY6" s="9"/>
      <c r="BZ6" s="1322">
        <v>604</v>
      </c>
      <c r="CA6" s="134">
        <v>473</v>
      </c>
      <c r="CB6" s="134">
        <v>2159</v>
      </c>
      <c r="CC6" s="135">
        <v>1173</v>
      </c>
      <c r="CD6" s="146"/>
      <c r="CE6" s="147"/>
      <c r="CF6" s="147">
        <v>0.02</v>
      </c>
      <c r="CG6" s="148"/>
      <c r="CH6" s="149">
        <v>22.13</v>
      </c>
      <c r="CI6" s="150">
        <v>23.59</v>
      </c>
      <c r="CJ6" s="150">
        <v>67.08</v>
      </c>
      <c r="CK6" s="151">
        <v>52.6</v>
      </c>
      <c r="CL6" s="49"/>
      <c r="CM6" s="8"/>
      <c r="CN6" s="8">
        <v>0.01</v>
      </c>
      <c r="CO6" s="9">
        <v>0.01</v>
      </c>
      <c r="CP6" s="603">
        <f aca="true" t="shared" si="1" ref="CP6:CP14">SUM(B6+F6+J6+N6+R6+V6+Z6+AD6+AH6+AL6+AP6+AT6+AX6+AD6+BF6+BJ6+BN6+BR6+BV6+BZ6+CD6+CH6+CL6)</f>
        <v>1561.5604000000003</v>
      </c>
      <c r="CQ6" s="603">
        <f t="shared" si="0"/>
        <v>970.8900000000001</v>
      </c>
      <c r="CR6" s="603">
        <f t="shared" si="0"/>
        <v>4765.100400000001</v>
      </c>
      <c r="CS6" s="1318">
        <f aca="true" t="shared" si="2" ref="CS6:CS14">SUM(E6+I6+M6+Q6+U6+Y6+AC6+AG6+AK6+AO6+AS6+AW6+BA6+AG6+BI6+BM6+BQ6+BU6+BY6+CC6+CG6+CK6+CO6)</f>
        <v>2286.9900000000002</v>
      </c>
      <c r="CT6" s="149">
        <v>2.64</v>
      </c>
      <c r="CU6" s="150">
        <v>2.1</v>
      </c>
      <c r="CV6" s="150">
        <v>29.52</v>
      </c>
      <c r="CW6" s="151">
        <v>3.17</v>
      </c>
      <c r="CX6" s="124">
        <f aca="true" t="shared" si="3" ref="CX6:CX14">CP6+CT6</f>
        <v>1564.2004000000004</v>
      </c>
      <c r="CY6" s="57">
        <f aca="true" t="shared" si="4" ref="CY6:CY14">CQ6+CU6</f>
        <v>972.9900000000001</v>
      </c>
      <c r="CZ6" s="57">
        <f aca="true" t="shared" si="5" ref="CZ6:CZ14">CR6+CV6</f>
        <v>4794.620400000002</v>
      </c>
      <c r="DA6" s="143">
        <f aca="true" t="shared" si="6" ref="DA6:DA14">CS6+CW6</f>
        <v>2290.1600000000003</v>
      </c>
    </row>
    <row r="7" spans="1:105" s="144" customFormat="1" ht="13.5">
      <c r="A7" s="155" t="s">
        <v>8</v>
      </c>
      <c r="B7" s="124">
        <v>2.22</v>
      </c>
      <c r="C7" s="57">
        <v>10.3</v>
      </c>
      <c r="D7" s="57">
        <v>28.76</v>
      </c>
      <c r="E7" s="143">
        <v>25.74</v>
      </c>
      <c r="F7" s="49"/>
      <c r="G7" s="8"/>
      <c r="H7" s="8"/>
      <c r="I7" s="145"/>
      <c r="J7" s="7"/>
      <c r="K7" s="8"/>
      <c r="L7" s="8"/>
      <c r="M7" s="9"/>
      <c r="N7" s="7">
        <v>133</v>
      </c>
      <c r="O7" s="8">
        <v>67</v>
      </c>
      <c r="P7" s="8">
        <v>490</v>
      </c>
      <c r="Q7" s="9">
        <v>277</v>
      </c>
      <c r="R7" s="49">
        <v>0.27</v>
      </c>
      <c r="S7" s="8"/>
      <c r="T7" s="8">
        <v>0.68</v>
      </c>
      <c r="U7" s="145"/>
      <c r="V7" s="7">
        <v>3.35</v>
      </c>
      <c r="W7" s="8"/>
      <c r="X7" s="8">
        <v>10.23</v>
      </c>
      <c r="Y7" s="9"/>
      <c r="Z7" s="7">
        <v>19.98</v>
      </c>
      <c r="AA7" s="8">
        <v>161.13</v>
      </c>
      <c r="AB7" s="8">
        <v>368.93</v>
      </c>
      <c r="AC7" s="145">
        <v>292</v>
      </c>
      <c r="AD7" s="7"/>
      <c r="AE7" s="8"/>
      <c r="AF7" s="8"/>
      <c r="AG7" s="9"/>
      <c r="AH7" s="7"/>
      <c r="AI7" s="8"/>
      <c r="AJ7" s="8"/>
      <c r="AK7" s="9"/>
      <c r="AL7" s="49">
        <v>0.31</v>
      </c>
      <c r="AM7" s="8">
        <v>0.37</v>
      </c>
      <c r="AN7" s="8">
        <v>0.52</v>
      </c>
      <c r="AO7" s="145">
        <v>0</v>
      </c>
      <c r="AP7" s="7">
        <v>358.74</v>
      </c>
      <c r="AQ7" s="8">
        <v>221.63</v>
      </c>
      <c r="AR7" s="8">
        <v>1179.19</v>
      </c>
      <c r="AS7" s="9">
        <v>498.91</v>
      </c>
      <c r="AT7" s="7">
        <v>31</v>
      </c>
      <c r="AU7" s="8">
        <v>0</v>
      </c>
      <c r="AV7" s="8">
        <v>70</v>
      </c>
      <c r="AW7" s="9">
        <v>0</v>
      </c>
      <c r="AX7" s="136"/>
      <c r="AY7" s="137"/>
      <c r="AZ7" s="137"/>
      <c r="BA7" s="1325"/>
      <c r="BB7" s="687">
        <v>0</v>
      </c>
      <c r="BC7" s="760">
        <v>0</v>
      </c>
      <c r="BD7" s="760">
        <v>0</v>
      </c>
      <c r="BE7" s="761">
        <v>0</v>
      </c>
      <c r="BF7" s="49">
        <v>31.29</v>
      </c>
      <c r="BG7" s="8">
        <v>11.42</v>
      </c>
      <c r="BH7" s="8">
        <v>91.01</v>
      </c>
      <c r="BI7" s="145">
        <v>19.63</v>
      </c>
      <c r="BJ7" s="7"/>
      <c r="BK7" s="8"/>
      <c r="BL7" s="8"/>
      <c r="BM7" s="9"/>
      <c r="BN7" s="7">
        <v>0.007</v>
      </c>
      <c r="BO7" s="8"/>
      <c r="BP7" s="8">
        <v>0.01</v>
      </c>
      <c r="BQ7" s="9"/>
      <c r="BR7" s="7"/>
      <c r="BS7" s="8"/>
      <c r="BT7" s="8"/>
      <c r="BU7" s="9"/>
      <c r="BV7" s="154"/>
      <c r="BW7" s="8"/>
      <c r="BX7" s="8"/>
      <c r="BY7" s="9"/>
      <c r="BZ7" s="1322">
        <v>2</v>
      </c>
      <c r="CA7" s="134">
        <v>12</v>
      </c>
      <c r="CB7" s="134">
        <v>7</v>
      </c>
      <c r="CC7" s="135">
        <v>16</v>
      </c>
      <c r="CD7" s="146">
        <v>33.52</v>
      </c>
      <c r="CE7" s="147">
        <v>72.05</v>
      </c>
      <c r="CF7" s="147">
        <v>137.6</v>
      </c>
      <c r="CG7" s="148">
        <v>202.14</v>
      </c>
      <c r="CH7" s="149"/>
      <c r="CI7" s="150"/>
      <c r="CJ7" s="150"/>
      <c r="CK7" s="151"/>
      <c r="CL7" s="49"/>
      <c r="CM7" s="8"/>
      <c r="CN7" s="8"/>
      <c r="CO7" s="9">
        <v>0.15</v>
      </c>
      <c r="CP7" s="603">
        <f t="shared" si="1"/>
        <v>615.6869999999999</v>
      </c>
      <c r="CQ7" s="603">
        <f t="shared" si="0"/>
        <v>555.9</v>
      </c>
      <c r="CR7" s="603">
        <f t="shared" si="0"/>
        <v>2383.9300000000003</v>
      </c>
      <c r="CS7" s="1318">
        <f t="shared" si="2"/>
        <v>1331.5700000000002</v>
      </c>
      <c r="CT7" s="149">
        <v>0.25</v>
      </c>
      <c r="CU7" s="150">
        <v>2.21</v>
      </c>
      <c r="CV7" s="150">
        <v>2.51</v>
      </c>
      <c r="CW7" s="151">
        <v>6.16</v>
      </c>
      <c r="CX7" s="124">
        <f t="shared" si="3"/>
        <v>615.9369999999999</v>
      </c>
      <c r="CY7" s="57">
        <f t="shared" si="4"/>
        <v>558.11</v>
      </c>
      <c r="CZ7" s="57">
        <f t="shared" si="5"/>
        <v>2386.4400000000005</v>
      </c>
      <c r="DA7" s="143">
        <f t="shared" si="6"/>
        <v>1337.7300000000002</v>
      </c>
    </row>
    <row r="8" spans="1:105" s="144" customFormat="1" ht="13.5">
      <c r="A8" s="155" t="s">
        <v>9</v>
      </c>
      <c r="B8" s="124">
        <v>27.3</v>
      </c>
      <c r="C8" s="57">
        <v>29.51</v>
      </c>
      <c r="D8" s="57">
        <v>113</v>
      </c>
      <c r="E8" s="143">
        <v>96.51</v>
      </c>
      <c r="F8" s="49">
        <v>3.4</v>
      </c>
      <c r="G8" s="8">
        <v>1.05</v>
      </c>
      <c r="H8" s="8">
        <v>6.51</v>
      </c>
      <c r="I8" s="145">
        <v>1.72</v>
      </c>
      <c r="J8" s="7">
        <v>3.49</v>
      </c>
      <c r="K8" s="8">
        <v>5.55</v>
      </c>
      <c r="L8" s="8">
        <v>12.09</v>
      </c>
      <c r="M8" s="9">
        <v>23.54</v>
      </c>
      <c r="N8" s="7">
        <v>15</v>
      </c>
      <c r="O8" s="8">
        <v>27</v>
      </c>
      <c r="P8" s="8">
        <v>60</v>
      </c>
      <c r="Q8" s="9">
        <v>75</v>
      </c>
      <c r="R8" s="49"/>
      <c r="S8" s="8"/>
      <c r="T8" s="8"/>
      <c r="U8" s="145"/>
      <c r="V8" s="7">
        <v>0.64</v>
      </c>
      <c r="W8" s="8">
        <v>0.67</v>
      </c>
      <c r="X8" s="8">
        <v>2.4</v>
      </c>
      <c r="Y8" s="9">
        <v>0.67</v>
      </c>
      <c r="Z8" s="7">
        <v>51.19</v>
      </c>
      <c r="AA8" s="8">
        <v>91.74</v>
      </c>
      <c r="AB8" s="8">
        <v>221.38</v>
      </c>
      <c r="AC8" s="145">
        <v>236.92</v>
      </c>
      <c r="AD8" s="7">
        <v>3.71</v>
      </c>
      <c r="AE8" s="8">
        <v>1.89</v>
      </c>
      <c r="AF8" s="8">
        <v>7.94</v>
      </c>
      <c r="AG8" s="9">
        <v>7.08</v>
      </c>
      <c r="AH8" s="7">
        <v>16.25</v>
      </c>
      <c r="AI8" s="8">
        <v>11.6</v>
      </c>
      <c r="AJ8" s="8">
        <v>53.28</v>
      </c>
      <c r="AK8" s="9">
        <v>43.89</v>
      </c>
      <c r="AL8" s="49">
        <v>3.69</v>
      </c>
      <c r="AM8" s="8">
        <v>14.1</v>
      </c>
      <c r="AN8" s="8">
        <v>14.1</v>
      </c>
      <c r="AO8" s="145">
        <v>38.91</v>
      </c>
      <c r="AP8" s="7">
        <v>59.89</v>
      </c>
      <c r="AQ8" s="8">
        <v>21.93</v>
      </c>
      <c r="AR8" s="8">
        <v>193.83</v>
      </c>
      <c r="AS8" s="9">
        <v>70.78</v>
      </c>
      <c r="AT8" s="7">
        <v>75</v>
      </c>
      <c r="AU8" s="8">
        <v>24</v>
      </c>
      <c r="AV8" s="8">
        <v>136</v>
      </c>
      <c r="AW8" s="9">
        <v>74</v>
      </c>
      <c r="AX8" s="136"/>
      <c r="AY8" s="137"/>
      <c r="AZ8" s="137"/>
      <c r="BA8" s="1325">
        <v>0.01</v>
      </c>
      <c r="BB8" s="687">
        <v>3.93</v>
      </c>
      <c r="BC8" s="760">
        <v>3.24</v>
      </c>
      <c r="BD8" s="760">
        <v>23.43</v>
      </c>
      <c r="BE8" s="761">
        <v>4.14</v>
      </c>
      <c r="BF8" s="49">
        <v>58.44</v>
      </c>
      <c r="BG8" s="8">
        <v>37.84</v>
      </c>
      <c r="BH8" s="8">
        <v>163.36</v>
      </c>
      <c r="BI8" s="145">
        <v>120.15</v>
      </c>
      <c r="BJ8" s="7">
        <v>6.8</v>
      </c>
      <c r="BK8" s="8">
        <v>8.25</v>
      </c>
      <c r="BL8" s="8">
        <v>29.27</v>
      </c>
      <c r="BM8" s="9">
        <v>17.98</v>
      </c>
      <c r="BN8" s="7">
        <v>15.12</v>
      </c>
      <c r="BO8" s="8">
        <v>20.5</v>
      </c>
      <c r="BP8" s="8">
        <v>35.16</v>
      </c>
      <c r="BQ8" s="9">
        <v>31.41</v>
      </c>
      <c r="BR8" s="7">
        <v>0.04</v>
      </c>
      <c r="BS8" s="8">
        <v>0.04</v>
      </c>
      <c r="BT8" s="8">
        <v>0.23</v>
      </c>
      <c r="BU8" s="9">
        <v>0.26</v>
      </c>
      <c r="BV8" s="154"/>
      <c r="BW8" s="8"/>
      <c r="BX8" s="8"/>
      <c r="BY8" s="9"/>
      <c r="BZ8" s="1322">
        <v>11</v>
      </c>
      <c r="CA8" s="134">
        <v>19</v>
      </c>
      <c r="CB8" s="134">
        <v>32</v>
      </c>
      <c r="CC8" s="135">
        <v>63</v>
      </c>
      <c r="CD8" s="146">
        <v>2.43</v>
      </c>
      <c r="CE8" s="147">
        <v>1.77</v>
      </c>
      <c r="CF8" s="147">
        <v>5.5</v>
      </c>
      <c r="CG8" s="148">
        <v>8.2</v>
      </c>
      <c r="CH8" s="149">
        <v>0.03</v>
      </c>
      <c r="CI8" s="150">
        <v>0.04</v>
      </c>
      <c r="CJ8" s="150">
        <v>0.43</v>
      </c>
      <c r="CK8" s="151">
        <v>2.73</v>
      </c>
      <c r="CL8" s="49">
        <v>2.31</v>
      </c>
      <c r="CM8" s="8">
        <v>0.6</v>
      </c>
      <c r="CN8" s="8">
        <v>22.35</v>
      </c>
      <c r="CO8" s="9">
        <v>21.51</v>
      </c>
      <c r="CP8" s="603">
        <f t="shared" si="1"/>
        <v>359.44</v>
      </c>
      <c r="CQ8" s="603">
        <f t="shared" si="0"/>
        <v>318.97</v>
      </c>
      <c r="CR8" s="603">
        <f t="shared" si="0"/>
        <v>1116.7700000000002</v>
      </c>
      <c r="CS8" s="1318">
        <f t="shared" si="2"/>
        <v>941.35</v>
      </c>
      <c r="CT8" s="149">
        <v>4.34</v>
      </c>
      <c r="CU8" s="150">
        <v>18.23</v>
      </c>
      <c r="CV8" s="150">
        <v>16.3</v>
      </c>
      <c r="CW8" s="151">
        <v>31.52</v>
      </c>
      <c r="CX8" s="124">
        <f t="shared" si="3"/>
        <v>363.78</v>
      </c>
      <c r="CY8" s="57">
        <f t="shared" si="4"/>
        <v>337.20000000000005</v>
      </c>
      <c r="CZ8" s="57">
        <f t="shared" si="5"/>
        <v>1133.0700000000002</v>
      </c>
      <c r="DA8" s="143">
        <f t="shared" si="6"/>
        <v>972.87</v>
      </c>
    </row>
    <row r="9" spans="1:105" s="144" customFormat="1" ht="13.5">
      <c r="A9" s="155" t="s">
        <v>10</v>
      </c>
      <c r="B9" s="124"/>
      <c r="C9" s="57"/>
      <c r="D9" s="57"/>
      <c r="E9" s="143"/>
      <c r="F9" s="49"/>
      <c r="G9" s="8"/>
      <c r="H9" s="8"/>
      <c r="I9" s="145"/>
      <c r="J9" s="7"/>
      <c r="K9" s="8"/>
      <c r="L9" s="8"/>
      <c r="M9" s="9"/>
      <c r="N9" s="7">
        <v>19</v>
      </c>
      <c r="O9" s="8">
        <v>5</v>
      </c>
      <c r="P9" s="8">
        <v>28</v>
      </c>
      <c r="Q9" s="9">
        <v>9</v>
      </c>
      <c r="R9" s="49"/>
      <c r="S9" s="8"/>
      <c r="T9" s="8"/>
      <c r="U9" s="145"/>
      <c r="V9" s="7"/>
      <c r="W9" s="8"/>
      <c r="X9" s="8"/>
      <c r="Y9" s="9"/>
      <c r="Z9" s="7">
        <v>15.85</v>
      </c>
      <c r="AA9" s="8"/>
      <c r="AB9" s="8">
        <v>18.8</v>
      </c>
      <c r="AC9" s="145"/>
      <c r="AD9" s="7"/>
      <c r="AE9" s="8"/>
      <c r="AF9" s="8"/>
      <c r="AG9" s="9"/>
      <c r="AH9" s="7"/>
      <c r="AI9" s="8"/>
      <c r="AJ9" s="8"/>
      <c r="AK9" s="9"/>
      <c r="AL9" s="49"/>
      <c r="AM9" s="8"/>
      <c r="AN9" s="8"/>
      <c r="AO9" s="145"/>
      <c r="AP9" s="7">
        <v>0.79</v>
      </c>
      <c r="AQ9" s="8">
        <v>4.33</v>
      </c>
      <c r="AR9" s="8">
        <v>4.29</v>
      </c>
      <c r="AS9" s="9">
        <v>10.45</v>
      </c>
      <c r="AT9" s="7"/>
      <c r="AU9" s="8"/>
      <c r="AV9" s="8"/>
      <c r="AW9" s="9"/>
      <c r="AX9" s="136"/>
      <c r="AY9" s="137"/>
      <c r="AZ9" s="137"/>
      <c r="BA9" s="1325"/>
      <c r="BB9" s="687">
        <v>0</v>
      </c>
      <c r="BC9" s="760">
        <v>0</v>
      </c>
      <c r="BD9" s="760">
        <v>0</v>
      </c>
      <c r="BE9" s="761">
        <v>0</v>
      </c>
      <c r="BF9" s="49">
        <v>24.86</v>
      </c>
      <c r="BG9" s="8">
        <v>9.42</v>
      </c>
      <c r="BH9" s="8">
        <v>75.68</v>
      </c>
      <c r="BI9" s="145">
        <v>14.99</v>
      </c>
      <c r="BJ9" s="7"/>
      <c r="BK9" s="8"/>
      <c r="BL9" s="8"/>
      <c r="BM9" s="9"/>
      <c r="BN9" s="7"/>
      <c r="BO9" s="8"/>
      <c r="BP9" s="8"/>
      <c r="BQ9" s="9"/>
      <c r="BR9" s="7"/>
      <c r="BS9" s="8"/>
      <c r="BT9" s="8"/>
      <c r="BU9" s="9"/>
      <c r="BV9" s="154"/>
      <c r="BW9" s="8"/>
      <c r="BX9" s="8"/>
      <c r="BY9" s="9"/>
      <c r="BZ9" s="1323"/>
      <c r="CA9" s="138"/>
      <c r="CB9" s="138"/>
      <c r="CC9" s="139"/>
      <c r="CD9" s="146"/>
      <c r="CE9" s="147"/>
      <c r="CF9" s="147"/>
      <c r="CG9" s="148"/>
      <c r="CH9" s="149"/>
      <c r="CI9" s="150"/>
      <c r="CJ9" s="150"/>
      <c r="CK9" s="151"/>
      <c r="CL9" s="49"/>
      <c r="CM9" s="8"/>
      <c r="CN9" s="8"/>
      <c r="CO9" s="9"/>
      <c r="CP9" s="603">
        <f t="shared" si="1"/>
        <v>60.5</v>
      </c>
      <c r="CQ9" s="603">
        <f t="shared" si="0"/>
        <v>18.75</v>
      </c>
      <c r="CR9" s="603">
        <f t="shared" si="0"/>
        <v>126.77000000000001</v>
      </c>
      <c r="CS9" s="1318">
        <f t="shared" si="2"/>
        <v>34.44</v>
      </c>
      <c r="CT9" s="149"/>
      <c r="CU9" s="150"/>
      <c r="CV9" s="150"/>
      <c r="CW9" s="151"/>
      <c r="CX9" s="124">
        <f t="shared" si="3"/>
        <v>60.5</v>
      </c>
      <c r="CY9" s="57">
        <f t="shared" si="4"/>
        <v>18.75</v>
      </c>
      <c r="CZ9" s="57">
        <f t="shared" si="5"/>
        <v>126.77000000000001</v>
      </c>
      <c r="DA9" s="143">
        <f t="shared" si="6"/>
        <v>34.44</v>
      </c>
    </row>
    <row r="10" spans="1:105" s="144" customFormat="1" ht="13.5">
      <c r="A10" s="155" t="s">
        <v>11</v>
      </c>
      <c r="B10" s="124">
        <v>475.56</v>
      </c>
      <c r="C10" s="57">
        <v>417.61</v>
      </c>
      <c r="D10" s="57">
        <v>1868.42</v>
      </c>
      <c r="E10" s="143">
        <v>1351.15</v>
      </c>
      <c r="F10" s="49">
        <v>1</v>
      </c>
      <c r="G10" s="8">
        <v>10.05</v>
      </c>
      <c r="H10" s="8">
        <v>8.6</v>
      </c>
      <c r="I10" s="145">
        <v>11.41</v>
      </c>
      <c r="J10" s="7">
        <v>59.15</v>
      </c>
      <c r="K10" s="8">
        <v>33.25</v>
      </c>
      <c r="L10" s="8">
        <v>96.64</v>
      </c>
      <c r="M10" s="9">
        <v>103.66</v>
      </c>
      <c r="N10" s="7">
        <v>766</v>
      </c>
      <c r="O10" s="8">
        <v>668</v>
      </c>
      <c r="P10" s="8">
        <v>2108</v>
      </c>
      <c r="Q10" s="9">
        <v>2332</v>
      </c>
      <c r="R10" s="49">
        <v>66.54</v>
      </c>
      <c r="S10" s="8">
        <v>89.65</v>
      </c>
      <c r="T10" s="8">
        <v>265.5</v>
      </c>
      <c r="U10" s="145">
        <v>262.79</v>
      </c>
      <c r="V10" s="7">
        <v>114.76</v>
      </c>
      <c r="W10" s="8">
        <v>30.62</v>
      </c>
      <c r="X10" s="8">
        <v>384.2</v>
      </c>
      <c r="Y10" s="9">
        <v>319.6</v>
      </c>
      <c r="Z10" s="7">
        <v>71.73</v>
      </c>
      <c r="AA10" s="8">
        <v>66.99</v>
      </c>
      <c r="AB10" s="8">
        <v>295.49</v>
      </c>
      <c r="AC10" s="145">
        <v>557.64</v>
      </c>
      <c r="AD10" s="7">
        <v>38</v>
      </c>
      <c r="AE10" s="8">
        <v>27.76</v>
      </c>
      <c r="AF10" s="8">
        <v>91.94</v>
      </c>
      <c r="AG10" s="9">
        <v>68.25</v>
      </c>
      <c r="AH10" s="7">
        <v>12.49</v>
      </c>
      <c r="AI10" s="8">
        <v>11.47</v>
      </c>
      <c r="AJ10" s="8">
        <v>29.33</v>
      </c>
      <c r="AK10" s="9">
        <v>68.46</v>
      </c>
      <c r="AL10" s="49">
        <v>88.16</v>
      </c>
      <c r="AM10" s="8">
        <v>81.52</v>
      </c>
      <c r="AN10" s="8">
        <v>263.15</v>
      </c>
      <c r="AO10" s="145">
        <v>256.95</v>
      </c>
      <c r="AP10" s="7">
        <v>1641.27</v>
      </c>
      <c r="AQ10" s="8">
        <v>1431.33</v>
      </c>
      <c r="AR10" s="8">
        <v>4987.47</v>
      </c>
      <c r="AS10" s="9">
        <v>4534.7</v>
      </c>
      <c r="AT10" s="7">
        <v>501</v>
      </c>
      <c r="AU10" s="8">
        <v>125</v>
      </c>
      <c r="AV10" s="8">
        <v>1661</v>
      </c>
      <c r="AW10" s="9">
        <v>669</v>
      </c>
      <c r="AX10" s="136">
        <v>8.72</v>
      </c>
      <c r="AY10" s="137">
        <v>7.46</v>
      </c>
      <c r="AZ10" s="137">
        <v>38.84</v>
      </c>
      <c r="BA10" s="1325">
        <v>23.94</v>
      </c>
      <c r="BB10" s="687">
        <v>324.4</v>
      </c>
      <c r="BC10" s="760">
        <v>333.33</v>
      </c>
      <c r="BD10" s="760">
        <v>1121.7</v>
      </c>
      <c r="BE10" s="761">
        <v>780.05</v>
      </c>
      <c r="BF10" s="152">
        <v>484.07</v>
      </c>
      <c r="BG10" s="153">
        <v>406.97</v>
      </c>
      <c r="BH10" s="153">
        <v>1475.91</v>
      </c>
      <c r="BI10" s="1324">
        <v>1261.8</v>
      </c>
      <c r="BJ10" s="7">
        <v>12.22</v>
      </c>
      <c r="BK10" s="8">
        <v>17.19</v>
      </c>
      <c r="BL10" s="8">
        <v>42.86</v>
      </c>
      <c r="BM10" s="9">
        <v>44.09</v>
      </c>
      <c r="BN10" s="7">
        <v>69.57</v>
      </c>
      <c r="BO10" s="8">
        <v>11.17</v>
      </c>
      <c r="BP10" s="8">
        <v>89.22</v>
      </c>
      <c r="BQ10" s="9">
        <v>23.16</v>
      </c>
      <c r="BR10" s="7">
        <v>90.35</v>
      </c>
      <c r="BS10" s="8">
        <v>46.46</v>
      </c>
      <c r="BT10" s="8">
        <v>164.68</v>
      </c>
      <c r="BU10" s="9">
        <v>171.15</v>
      </c>
      <c r="BV10" s="154"/>
      <c r="BW10" s="8"/>
      <c r="BX10" s="8"/>
      <c r="BY10" s="9"/>
      <c r="BZ10" s="1322">
        <v>643</v>
      </c>
      <c r="CA10" s="134">
        <v>619</v>
      </c>
      <c r="CB10" s="134">
        <v>1879</v>
      </c>
      <c r="CC10" s="135">
        <v>1185</v>
      </c>
      <c r="CD10" s="146">
        <v>48.8</v>
      </c>
      <c r="CE10" s="147">
        <v>34.68</v>
      </c>
      <c r="CF10" s="147">
        <v>162.52</v>
      </c>
      <c r="CG10" s="148">
        <v>134.72</v>
      </c>
      <c r="CH10" s="149">
        <v>0.26</v>
      </c>
      <c r="CI10" s="150">
        <v>0.66</v>
      </c>
      <c r="CJ10" s="150">
        <v>0.45</v>
      </c>
      <c r="CK10" s="151">
        <v>2.6</v>
      </c>
      <c r="CL10" s="49">
        <v>34.88</v>
      </c>
      <c r="CM10" s="8">
        <v>21.72</v>
      </c>
      <c r="CN10" s="8">
        <v>98.46</v>
      </c>
      <c r="CO10" s="9">
        <v>62.51</v>
      </c>
      <c r="CP10" s="603">
        <f t="shared" si="1"/>
        <v>5265.530000000001</v>
      </c>
      <c r="CQ10" s="603">
        <f t="shared" si="0"/>
        <v>4186.320000000001</v>
      </c>
      <c r="CR10" s="603">
        <f t="shared" si="0"/>
        <v>16103.619999999999</v>
      </c>
      <c r="CS10" s="1318">
        <f t="shared" si="2"/>
        <v>13512.83</v>
      </c>
      <c r="CT10" s="7">
        <v>29437.13</v>
      </c>
      <c r="CU10" s="8">
        <v>19404.26</v>
      </c>
      <c r="CV10" s="8">
        <v>89138.57</v>
      </c>
      <c r="CW10" s="9">
        <v>81931.89</v>
      </c>
      <c r="CX10" s="124">
        <f t="shared" si="3"/>
        <v>34702.66</v>
      </c>
      <c r="CY10" s="57">
        <f t="shared" si="4"/>
        <v>23590.579999999998</v>
      </c>
      <c r="CZ10" s="57">
        <f t="shared" si="5"/>
        <v>105242.19</v>
      </c>
      <c r="DA10" s="143">
        <f t="shared" si="6"/>
        <v>95444.72</v>
      </c>
    </row>
    <row r="11" spans="1:105" s="144" customFormat="1" ht="13.5">
      <c r="A11" s="155" t="s">
        <v>12</v>
      </c>
      <c r="B11" s="124"/>
      <c r="C11" s="57"/>
      <c r="D11" s="57"/>
      <c r="E11" s="143"/>
      <c r="F11" s="49"/>
      <c r="G11" s="8"/>
      <c r="H11" s="8"/>
      <c r="I11" s="145"/>
      <c r="J11" s="7"/>
      <c r="K11" s="8"/>
      <c r="L11" s="8"/>
      <c r="M11" s="9"/>
      <c r="N11" s="7"/>
      <c r="O11" s="8">
        <v>8</v>
      </c>
      <c r="P11" s="8"/>
      <c r="Q11" s="9">
        <v>11</v>
      </c>
      <c r="R11" s="49"/>
      <c r="S11" s="8"/>
      <c r="T11" s="8"/>
      <c r="U11" s="145"/>
      <c r="V11" s="7"/>
      <c r="W11" s="8"/>
      <c r="X11" s="8"/>
      <c r="Y11" s="9"/>
      <c r="Z11" s="7"/>
      <c r="AA11" s="8"/>
      <c r="AB11" s="8"/>
      <c r="AC11" s="145"/>
      <c r="AD11" s="7"/>
      <c r="AE11" s="8"/>
      <c r="AF11" s="8"/>
      <c r="AG11" s="9"/>
      <c r="AH11" s="7"/>
      <c r="AI11" s="8"/>
      <c r="AJ11" s="8"/>
      <c r="AK11" s="9"/>
      <c r="AL11" s="49"/>
      <c r="AM11" s="8"/>
      <c r="AN11" s="8"/>
      <c r="AO11" s="145"/>
      <c r="AP11" s="7"/>
      <c r="AQ11" s="8"/>
      <c r="AR11" s="8"/>
      <c r="AS11" s="9"/>
      <c r="AT11" s="7"/>
      <c r="AU11" s="8"/>
      <c r="AV11" s="8"/>
      <c r="AW11" s="9"/>
      <c r="AX11" s="136"/>
      <c r="AY11" s="137"/>
      <c r="AZ11" s="137"/>
      <c r="BA11" s="1325"/>
      <c r="BB11" s="687"/>
      <c r="BC11" s="760"/>
      <c r="BD11" s="760"/>
      <c r="BE11" s="761"/>
      <c r="BF11" s="152"/>
      <c r="BG11" s="153"/>
      <c r="BH11" s="153"/>
      <c r="BI11" s="1324"/>
      <c r="BJ11" s="7"/>
      <c r="BK11" s="8"/>
      <c r="BL11" s="8"/>
      <c r="BM11" s="9"/>
      <c r="BN11" s="7"/>
      <c r="BO11" s="8"/>
      <c r="BP11" s="8"/>
      <c r="BQ11" s="9"/>
      <c r="BR11" s="7"/>
      <c r="BS11" s="8"/>
      <c r="BT11" s="8"/>
      <c r="BU11" s="9"/>
      <c r="BV11" s="154"/>
      <c r="BW11" s="8"/>
      <c r="BX11" s="8"/>
      <c r="BY11" s="9"/>
      <c r="BZ11" s="1322"/>
      <c r="CA11" s="134"/>
      <c r="CB11" s="134"/>
      <c r="CC11" s="135"/>
      <c r="CD11" s="146"/>
      <c r="CE11" s="147"/>
      <c r="CF11" s="147"/>
      <c r="CG11" s="148"/>
      <c r="CH11" s="149"/>
      <c r="CI11" s="150"/>
      <c r="CJ11" s="150"/>
      <c r="CK11" s="151"/>
      <c r="CL11" s="49"/>
      <c r="CM11" s="8"/>
      <c r="CN11" s="8"/>
      <c r="CO11" s="9"/>
      <c r="CP11" s="603">
        <f t="shared" si="1"/>
        <v>0</v>
      </c>
      <c r="CQ11" s="603">
        <f t="shared" si="0"/>
        <v>8</v>
      </c>
      <c r="CR11" s="603">
        <f t="shared" si="0"/>
        <v>0</v>
      </c>
      <c r="CS11" s="1318">
        <f t="shared" si="2"/>
        <v>11</v>
      </c>
      <c r="CT11" s="7"/>
      <c r="CU11" s="8"/>
      <c r="CV11" s="8"/>
      <c r="CW11" s="9"/>
      <c r="CX11" s="124">
        <f t="shared" si="3"/>
        <v>0</v>
      </c>
      <c r="CY11" s="57">
        <f t="shared" si="4"/>
        <v>8</v>
      </c>
      <c r="CZ11" s="57">
        <f t="shared" si="5"/>
        <v>0</v>
      </c>
      <c r="DA11" s="143">
        <f t="shared" si="6"/>
        <v>11</v>
      </c>
    </row>
    <row r="12" spans="1:105" s="878" customFormat="1" ht="13.5">
      <c r="A12" s="860" t="s">
        <v>13</v>
      </c>
      <c r="B12" s="869">
        <f aca="true" t="shared" si="7" ref="B12:AG12">SUM(B5:B11)</f>
        <v>540.07</v>
      </c>
      <c r="C12" s="870">
        <f t="shared" si="7"/>
        <v>472.63</v>
      </c>
      <c r="D12" s="870">
        <f t="shared" si="7"/>
        <v>2118.89</v>
      </c>
      <c r="E12" s="871">
        <f t="shared" si="7"/>
        <v>1510.5800000000002</v>
      </c>
      <c r="F12" s="870">
        <f t="shared" si="7"/>
        <v>4.4</v>
      </c>
      <c r="G12" s="870">
        <f t="shared" si="7"/>
        <v>11.13</v>
      </c>
      <c r="H12" s="870">
        <f t="shared" si="7"/>
        <v>15.11</v>
      </c>
      <c r="I12" s="872">
        <f t="shared" si="7"/>
        <v>13.21</v>
      </c>
      <c r="J12" s="869">
        <f t="shared" si="7"/>
        <v>62.8204</v>
      </c>
      <c r="K12" s="870">
        <f t="shared" si="7"/>
        <v>39.54</v>
      </c>
      <c r="L12" s="870">
        <f t="shared" si="7"/>
        <v>108.9804</v>
      </c>
      <c r="M12" s="871">
        <f t="shared" si="7"/>
        <v>128.06</v>
      </c>
      <c r="N12" s="869">
        <f t="shared" si="7"/>
        <v>1107</v>
      </c>
      <c r="O12" s="870">
        <f t="shared" si="7"/>
        <v>900</v>
      </c>
      <c r="P12" s="870">
        <f t="shared" si="7"/>
        <v>3121</v>
      </c>
      <c r="Q12" s="871">
        <f t="shared" si="7"/>
        <v>2835</v>
      </c>
      <c r="R12" s="870">
        <f t="shared" si="7"/>
        <v>66.92</v>
      </c>
      <c r="S12" s="870">
        <f t="shared" si="7"/>
        <v>89.65</v>
      </c>
      <c r="T12" s="870">
        <f t="shared" si="7"/>
        <v>266.55</v>
      </c>
      <c r="U12" s="872">
        <f t="shared" si="7"/>
        <v>262.79</v>
      </c>
      <c r="V12" s="869">
        <f t="shared" si="7"/>
        <v>143.22</v>
      </c>
      <c r="W12" s="870">
        <f t="shared" si="7"/>
        <v>49.33</v>
      </c>
      <c r="X12" s="870">
        <f t="shared" si="7"/>
        <v>493.46</v>
      </c>
      <c r="Y12" s="871">
        <f t="shared" si="7"/>
        <v>397.1</v>
      </c>
      <c r="Z12" s="869">
        <f t="shared" si="7"/>
        <v>158.8</v>
      </c>
      <c r="AA12" s="873">
        <f t="shared" si="7"/>
        <v>320.04</v>
      </c>
      <c r="AB12" s="873">
        <f t="shared" si="7"/>
        <v>905.0899999999999</v>
      </c>
      <c r="AC12" s="874">
        <f t="shared" si="7"/>
        <v>1087.73</v>
      </c>
      <c r="AD12" s="869">
        <f t="shared" si="7"/>
        <v>43.78</v>
      </c>
      <c r="AE12" s="870">
        <f t="shared" si="7"/>
        <v>29.700000000000003</v>
      </c>
      <c r="AF12" s="870">
        <f t="shared" si="7"/>
        <v>102.03999999999999</v>
      </c>
      <c r="AG12" s="871">
        <f t="shared" si="7"/>
        <v>75.37</v>
      </c>
      <c r="AH12" s="869">
        <f aca="true" t="shared" si="8" ref="AH12:BM12">SUM(AH5:AH11)</f>
        <v>28.82</v>
      </c>
      <c r="AI12" s="873">
        <f t="shared" si="8"/>
        <v>23.09</v>
      </c>
      <c r="AJ12" s="873">
        <f t="shared" si="8"/>
        <v>82.77</v>
      </c>
      <c r="AK12" s="875">
        <f t="shared" si="8"/>
        <v>112.37</v>
      </c>
      <c r="AL12" s="870">
        <f t="shared" si="8"/>
        <v>111.94</v>
      </c>
      <c r="AM12" s="870">
        <f t="shared" si="8"/>
        <v>96.03</v>
      </c>
      <c r="AN12" s="870">
        <f t="shared" si="8"/>
        <v>334.33</v>
      </c>
      <c r="AO12" s="872">
        <f t="shared" si="8"/>
        <v>296.43</v>
      </c>
      <c r="AP12" s="869">
        <f t="shared" si="8"/>
        <v>2364.5699999999997</v>
      </c>
      <c r="AQ12" s="870">
        <f t="shared" si="8"/>
        <v>1830.76</v>
      </c>
      <c r="AR12" s="870">
        <f t="shared" si="8"/>
        <v>7326.530000000001</v>
      </c>
      <c r="AS12" s="871">
        <f t="shared" si="8"/>
        <v>5406.03</v>
      </c>
      <c r="AT12" s="869">
        <f t="shared" si="8"/>
        <v>792</v>
      </c>
      <c r="AU12" s="870">
        <f t="shared" si="8"/>
        <v>177</v>
      </c>
      <c r="AV12" s="870">
        <f t="shared" si="8"/>
        <v>2224</v>
      </c>
      <c r="AW12" s="871">
        <f t="shared" si="8"/>
        <v>810</v>
      </c>
      <c r="AX12" s="869">
        <f t="shared" si="8"/>
        <v>58.68</v>
      </c>
      <c r="AY12" s="870">
        <f t="shared" si="8"/>
        <v>33.26</v>
      </c>
      <c r="AZ12" s="870">
        <f t="shared" si="8"/>
        <v>162.36</v>
      </c>
      <c r="BA12" s="871">
        <f t="shared" si="8"/>
        <v>101.14</v>
      </c>
      <c r="BB12" s="869">
        <f t="shared" si="8"/>
        <v>381.39</v>
      </c>
      <c r="BC12" s="873">
        <f t="shared" si="8"/>
        <v>372.04999999999995</v>
      </c>
      <c r="BD12" s="873">
        <f t="shared" si="8"/>
        <v>1293.58</v>
      </c>
      <c r="BE12" s="875">
        <f t="shared" si="8"/>
        <v>889.87</v>
      </c>
      <c r="BF12" s="870">
        <f t="shared" si="8"/>
        <v>616.9300000000001</v>
      </c>
      <c r="BG12" s="870">
        <f t="shared" si="8"/>
        <v>471.07000000000005</v>
      </c>
      <c r="BH12" s="870">
        <f t="shared" si="8"/>
        <v>1845.5100000000002</v>
      </c>
      <c r="BI12" s="872">
        <f t="shared" si="8"/>
        <v>1432.3799999999999</v>
      </c>
      <c r="BJ12" s="869">
        <f t="shared" si="8"/>
        <v>131.32</v>
      </c>
      <c r="BK12" s="870">
        <f t="shared" si="8"/>
        <v>123.69999999999999</v>
      </c>
      <c r="BL12" s="870">
        <f t="shared" si="8"/>
        <v>413.71</v>
      </c>
      <c r="BM12" s="871">
        <f t="shared" si="8"/>
        <v>364.64</v>
      </c>
      <c r="BN12" s="869">
        <f aca="true" t="shared" si="9" ref="BN12:CO12">SUM(BN5:BN11)</f>
        <v>143.397</v>
      </c>
      <c r="BO12" s="870">
        <f t="shared" si="9"/>
        <v>65.78</v>
      </c>
      <c r="BP12" s="870">
        <f t="shared" si="9"/>
        <v>288.43999999999994</v>
      </c>
      <c r="BQ12" s="871">
        <f t="shared" si="9"/>
        <v>172.67</v>
      </c>
      <c r="BR12" s="869">
        <f t="shared" si="9"/>
        <v>90.39</v>
      </c>
      <c r="BS12" s="870">
        <f t="shared" si="9"/>
        <v>46.5</v>
      </c>
      <c r="BT12" s="870">
        <f t="shared" si="9"/>
        <v>164.91</v>
      </c>
      <c r="BU12" s="871">
        <f t="shared" si="9"/>
        <v>171.43</v>
      </c>
      <c r="BV12" s="869">
        <f t="shared" si="9"/>
        <v>0</v>
      </c>
      <c r="BW12" s="870">
        <f t="shared" si="9"/>
        <v>0</v>
      </c>
      <c r="BX12" s="870">
        <f t="shared" si="9"/>
        <v>0</v>
      </c>
      <c r="BY12" s="871">
        <f t="shared" si="9"/>
        <v>0</v>
      </c>
      <c r="BZ12" s="869">
        <f t="shared" si="9"/>
        <v>1282</v>
      </c>
      <c r="CA12" s="870">
        <f t="shared" si="9"/>
        <v>1149</v>
      </c>
      <c r="CB12" s="870">
        <f t="shared" si="9"/>
        <v>4156</v>
      </c>
      <c r="CC12" s="871">
        <f t="shared" si="9"/>
        <v>2560</v>
      </c>
      <c r="CD12" s="869">
        <f t="shared" si="9"/>
        <v>84.75</v>
      </c>
      <c r="CE12" s="870">
        <f t="shared" si="9"/>
        <v>108.5</v>
      </c>
      <c r="CF12" s="870">
        <f t="shared" si="9"/>
        <v>305.64</v>
      </c>
      <c r="CG12" s="871">
        <f t="shared" si="9"/>
        <v>345.05999999999995</v>
      </c>
      <c r="CH12" s="869">
        <f t="shared" si="9"/>
        <v>22.42</v>
      </c>
      <c r="CI12" s="870">
        <f t="shared" si="9"/>
        <v>24.29</v>
      </c>
      <c r="CJ12" s="870">
        <f t="shared" si="9"/>
        <v>67.96000000000001</v>
      </c>
      <c r="CK12" s="871">
        <f t="shared" si="9"/>
        <v>57.95</v>
      </c>
      <c r="CL12" s="870">
        <f t="shared" si="9"/>
        <v>38.300000000000004</v>
      </c>
      <c r="CM12" s="870">
        <f t="shared" si="9"/>
        <v>22.48</v>
      </c>
      <c r="CN12" s="870">
        <f t="shared" si="9"/>
        <v>125.13999999999999</v>
      </c>
      <c r="CO12" s="870">
        <f t="shared" si="9"/>
        <v>85.65</v>
      </c>
      <c r="CP12" s="876">
        <f t="shared" si="1"/>
        <v>7936.307400000001</v>
      </c>
      <c r="CQ12" s="876">
        <f t="shared" si="0"/>
        <v>6113.1799999999985</v>
      </c>
      <c r="CR12" s="876">
        <f t="shared" si="0"/>
        <v>24730.460399999996</v>
      </c>
      <c r="CS12" s="1319">
        <f t="shared" si="2"/>
        <v>18300.960000000006</v>
      </c>
      <c r="CT12" s="877">
        <f>SUM(CT5:CT11)</f>
        <v>30516.14</v>
      </c>
      <c r="CU12" s="877">
        <f>SUM(CU5:CU11)</f>
        <v>19795.859999999997</v>
      </c>
      <c r="CV12" s="877">
        <f>SUM(CV5:CV11)</f>
        <v>91179.11</v>
      </c>
      <c r="CW12" s="877">
        <f>SUM(CW5:CW11)</f>
        <v>82789.16</v>
      </c>
      <c r="CX12" s="869">
        <f t="shared" si="3"/>
        <v>38452.4474</v>
      </c>
      <c r="CY12" s="873">
        <f t="shared" si="4"/>
        <v>25909.039999999994</v>
      </c>
      <c r="CZ12" s="873">
        <f t="shared" si="5"/>
        <v>115909.5704</v>
      </c>
      <c r="DA12" s="875">
        <f t="shared" si="6"/>
        <v>101090.12000000001</v>
      </c>
    </row>
    <row r="13" spans="1:105" s="144" customFormat="1" ht="13.5">
      <c r="A13" s="155" t="s">
        <v>14</v>
      </c>
      <c r="B13" s="685"/>
      <c r="C13" s="132"/>
      <c r="D13" s="132"/>
      <c r="E13" s="156"/>
      <c r="F13" s="49"/>
      <c r="G13" s="8"/>
      <c r="H13" s="8"/>
      <c r="I13" s="145"/>
      <c r="J13" s="7"/>
      <c r="K13" s="8"/>
      <c r="L13" s="8"/>
      <c r="M13" s="9"/>
      <c r="N13" s="7"/>
      <c r="O13" s="8"/>
      <c r="P13" s="8"/>
      <c r="Q13" s="9"/>
      <c r="R13" s="49"/>
      <c r="S13" s="8"/>
      <c r="T13" s="8"/>
      <c r="U13" s="145"/>
      <c r="V13" s="7"/>
      <c r="W13" s="8"/>
      <c r="X13" s="8"/>
      <c r="Y13" s="9"/>
      <c r="Z13" s="7"/>
      <c r="AA13" s="8"/>
      <c r="AB13" s="8"/>
      <c r="AC13" s="145"/>
      <c r="AD13" s="7"/>
      <c r="AE13" s="8"/>
      <c r="AF13" s="8"/>
      <c r="AG13" s="9"/>
      <c r="AH13" s="10"/>
      <c r="AI13" s="11"/>
      <c r="AJ13" s="11"/>
      <c r="AK13" s="12"/>
      <c r="AL13" s="686"/>
      <c r="AM13" s="11"/>
      <c r="AN13" s="11"/>
      <c r="AO13" s="689"/>
      <c r="AP13" s="10"/>
      <c r="AQ13" s="11"/>
      <c r="AR13" s="11"/>
      <c r="AS13" s="12"/>
      <c r="AT13" s="10"/>
      <c r="AU13" s="11"/>
      <c r="AV13" s="11"/>
      <c r="AW13" s="12"/>
      <c r="AX13" s="10"/>
      <c r="AY13" s="11"/>
      <c r="AZ13" s="11"/>
      <c r="BA13" s="12"/>
      <c r="BB13" s="687"/>
      <c r="BC13" s="760"/>
      <c r="BD13" s="760"/>
      <c r="BE13" s="761"/>
      <c r="BF13" s="49"/>
      <c r="BG13" s="8"/>
      <c r="BH13" s="8"/>
      <c r="BI13" s="145"/>
      <c r="BJ13" s="7"/>
      <c r="BK13" s="8"/>
      <c r="BL13" s="8"/>
      <c r="BM13" s="9"/>
      <c r="BN13" s="7"/>
      <c r="BO13" s="8"/>
      <c r="BP13" s="8"/>
      <c r="BQ13" s="9">
        <v>-0.003</v>
      </c>
      <c r="BR13" s="7"/>
      <c r="BS13" s="8"/>
      <c r="BT13" s="8"/>
      <c r="BU13" s="9"/>
      <c r="BV13" s="154"/>
      <c r="BW13" s="8"/>
      <c r="BX13" s="8"/>
      <c r="BY13" s="9"/>
      <c r="BZ13" s="1323"/>
      <c r="CA13" s="138"/>
      <c r="CB13" s="138"/>
      <c r="CC13" s="139"/>
      <c r="CD13" s="146"/>
      <c r="CE13" s="147"/>
      <c r="CF13" s="147"/>
      <c r="CG13" s="148"/>
      <c r="CH13" s="149"/>
      <c r="CI13" s="150"/>
      <c r="CJ13" s="150"/>
      <c r="CK13" s="151"/>
      <c r="CL13" s="49"/>
      <c r="CM13" s="8"/>
      <c r="CN13" s="8"/>
      <c r="CO13" s="9"/>
      <c r="CP13" s="603">
        <f t="shared" si="1"/>
        <v>0</v>
      </c>
      <c r="CQ13" s="603">
        <f t="shared" si="0"/>
        <v>0</v>
      </c>
      <c r="CR13" s="603">
        <f t="shared" si="0"/>
        <v>0</v>
      </c>
      <c r="CS13" s="1318">
        <f t="shared" si="2"/>
        <v>-0.003</v>
      </c>
      <c r="CT13" s="149"/>
      <c r="CU13" s="150"/>
      <c r="CV13" s="150"/>
      <c r="CW13" s="151"/>
      <c r="CX13" s="124">
        <f t="shared" si="3"/>
        <v>0</v>
      </c>
      <c r="CY13" s="57">
        <f t="shared" si="4"/>
        <v>0</v>
      </c>
      <c r="CZ13" s="57">
        <f t="shared" si="5"/>
        <v>0</v>
      </c>
      <c r="DA13" s="143">
        <f t="shared" si="6"/>
        <v>-0.003</v>
      </c>
    </row>
    <row r="14" spans="1:105" s="878" customFormat="1" ht="14.25" thickBot="1">
      <c r="A14" s="862" t="s">
        <v>15</v>
      </c>
      <c r="B14" s="879">
        <f>B12+B13</f>
        <v>540.07</v>
      </c>
      <c r="C14" s="880">
        <f aca="true" t="shared" si="10" ref="C14:BN14">C12+C13</f>
        <v>472.63</v>
      </c>
      <c r="D14" s="880">
        <f t="shared" si="10"/>
        <v>2118.89</v>
      </c>
      <c r="E14" s="881">
        <f t="shared" si="10"/>
        <v>1510.5800000000002</v>
      </c>
      <c r="F14" s="880">
        <f t="shared" si="10"/>
        <v>4.4</v>
      </c>
      <c r="G14" s="880">
        <f t="shared" si="10"/>
        <v>11.13</v>
      </c>
      <c r="H14" s="880">
        <f t="shared" si="10"/>
        <v>15.11</v>
      </c>
      <c r="I14" s="882">
        <f t="shared" si="10"/>
        <v>13.21</v>
      </c>
      <c r="J14" s="879">
        <f t="shared" si="10"/>
        <v>62.8204</v>
      </c>
      <c r="K14" s="880">
        <f t="shared" si="10"/>
        <v>39.54</v>
      </c>
      <c r="L14" s="880">
        <f t="shared" si="10"/>
        <v>108.9804</v>
      </c>
      <c r="M14" s="881">
        <f t="shared" si="10"/>
        <v>128.06</v>
      </c>
      <c r="N14" s="879">
        <f t="shared" si="10"/>
        <v>1107</v>
      </c>
      <c r="O14" s="880">
        <f t="shared" si="10"/>
        <v>900</v>
      </c>
      <c r="P14" s="880">
        <f t="shared" si="10"/>
        <v>3121</v>
      </c>
      <c r="Q14" s="881">
        <f t="shared" si="10"/>
        <v>2835</v>
      </c>
      <c r="R14" s="880">
        <f t="shared" si="10"/>
        <v>66.92</v>
      </c>
      <c r="S14" s="880">
        <f t="shared" si="10"/>
        <v>89.65</v>
      </c>
      <c r="T14" s="880">
        <f t="shared" si="10"/>
        <v>266.55</v>
      </c>
      <c r="U14" s="882">
        <f t="shared" si="10"/>
        <v>262.79</v>
      </c>
      <c r="V14" s="879">
        <f t="shared" si="10"/>
        <v>143.22</v>
      </c>
      <c r="W14" s="880">
        <f t="shared" si="10"/>
        <v>49.33</v>
      </c>
      <c r="X14" s="880">
        <f t="shared" si="10"/>
        <v>493.46</v>
      </c>
      <c r="Y14" s="881">
        <f t="shared" si="10"/>
        <v>397.1</v>
      </c>
      <c r="Z14" s="879">
        <f t="shared" si="10"/>
        <v>158.8</v>
      </c>
      <c r="AA14" s="883">
        <f t="shared" si="10"/>
        <v>320.04</v>
      </c>
      <c r="AB14" s="883">
        <f t="shared" si="10"/>
        <v>905.0899999999999</v>
      </c>
      <c r="AC14" s="884">
        <f t="shared" si="10"/>
        <v>1087.73</v>
      </c>
      <c r="AD14" s="879">
        <f>AD12+AD13</f>
        <v>43.78</v>
      </c>
      <c r="AE14" s="880">
        <f>AE12+AE13</f>
        <v>29.700000000000003</v>
      </c>
      <c r="AF14" s="880">
        <f>AF12+AF13</f>
        <v>102.03999999999999</v>
      </c>
      <c r="AG14" s="881">
        <f>AG12+AG13</f>
        <v>75.37</v>
      </c>
      <c r="AH14" s="879">
        <f t="shared" si="10"/>
        <v>28.82</v>
      </c>
      <c r="AI14" s="883">
        <f t="shared" si="10"/>
        <v>23.09</v>
      </c>
      <c r="AJ14" s="883">
        <f t="shared" si="10"/>
        <v>82.77</v>
      </c>
      <c r="AK14" s="885">
        <f t="shared" si="10"/>
        <v>112.37</v>
      </c>
      <c r="AL14" s="880">
        <f t="shared" si="10"/>
        <v>111.94</v>
      </c>
      <c r="AM14" s="880">
        <f t="shared" si="10"/>
        <v>96.03</v>
      </c>
      <c r="AN14" s="880">
        <f t="shared" si="10"/>
        <v>334.33</v>
      </c>
      <c r="AO14" s="882">
        <f t="shared" si="10"/>
        <v>296.43</v>
      </c>
      <c r="AP14" s="879">
        <f t="shared" si="10"/>
        <v>2364.5699999999997</v>
      </c>
      <c r="AQ14" s="880">
        <f t="shared" si="10"/>
        <v>1830.76</v>
      </c>
      <c r="AR14" s="880">
        <f t="shared" si="10"/>
        <v>7326.530000000001</v>
      </c>
      <c r="AS14" s="881">
        <f t="shared" si="10"/>
        <v>5406.03</v>
      </c>
      <c r="AT14" s="879">
        <f t="shared" si="10"/>
        <v>792</v>
      </c>
      <c r="AU14" s="880">
        <f t="shared" si="10"/>
        <v>177</v>
      </c>
      <c r="AV14" s="880">
        <f t="shared" si="10"/>
        <v>2224</v>
      </c>
      <c r="AW14" s="881">
        <f t="shared" si="10"/>
        <v>810</v>
      </c>
      <c r="AX14" s="879">
        <f t="shared" si="10"/>
        <v>58.68</v>
      </c>
      <c r="AY14" s="880">
        <f t="shared" si="10"/>
        <v>33.26</v>
      </c>
      <c r="AZ14" s="880">
        <f t="shared" si="10"/>
        <v>162.36</v>
      </c>
      <c r="BA14" s="881">
        <f t="shared" si="10"/>
        <v>101.14</v>
      </c>
      <c r="BB14" s="879">
        <f t="shared" si="10"/>
        <v>381.39</v>
      </c>
      <c r="BC14" s="883">
        <f t="shared" si="10"/>
        <v>372.04999999999995</v>
      </c>
      <c r="BD14" s="883">
        <f t="shared" si="10"/>
        <v>1293.58</v>
      </c>
      <c r="BE14" s="885">
        <f t="shared" si="10"/>
        <v>889.87</v>
      </c>
      <c r="BF14" s="880">
        <f t="shared" si="10"/>
        <v>616.9300000000001</v>
      </c>
      <c r="BG14" s="880">
        <f t="shared" si="10"/>
        <v>471.07000000000005</v>
      </c>
      <c r="BH14" s="880">
        <f t="shared" si="10"/>
        <v>1845.5100000000002</v>
      </c>
      <c r="BI14" s="882">
        <f t="shared" si="10"/>
        <v>1432.3799999999999</v>
      </c>
      <c r="BJ14" s="879">
        <f t="shared" si="10"/>
        <v>131.32</v>
      </c>
      <c r="BK14" s="880">
        <f t="shared" si="10"/>
        <v>123.69999999999999</v>
      </c>
      <c r="BL14" s="880">
        <f t="shared" si="10"/>
        <v>413.71</v>
      </c>
      <c r="BM14" s="881">
        <f t="shared" si="10"/>
        <v>364.64</v>
      </c>
      <c r="BN14" s="879">
        <f t="shared" si="10"/>
        <v>143.397</v>
      </c>
      <c r="BO14" s="880">
        <f aca="true" t="shared" si="11" ref="BO14:CO14">BO12+BO13</f>
        <v>65.78</v>
      </c>
      <c r="BP14" s="880">
        <f t="shared" si="11"/>
        <v>288.43999999999994</v>
      </c>
      <c r="BQ14" s="881">
        <f t="shared" si="11"/>
        <v>172.667</v>
      </c>
      <c r="BR14" s="879">
        <f t="shared" si="11"/>
        <v>90.39</v>
      </c>
      <c r="BS14" s="880">
        <f t="shared" si="11"/>
        <v>46.5</v>
      </c>
      <c r="BT14" s="880">
        <f t="shared" si="11"/>
        <v>164.91</v>
      </c>
      <c r="BU14" s="881">
        <f t="shared" si="11"/>
        <v>171.43</v>
      </c>
      <c r="BV14" s="879">
        <f t="shared" si="11"/>
        <v>0</v>
      </c>
      <c r="BW14" s="880">
        <f t="shared" si="11"/>
        <v>0</v>
      </c>
      <c r="BX14" s="880">
        <f t="shared" si="11"/>
        <v>0</v>
      </c>
      <c r="BY14" s="881">
        <f t="shared" si="11"/>
        <v>0</v>
      </c>
      <c r="BZ14" s="879">
        <f t="shared" si="11"/>
        <v>1282</v>
      </c>
      <c r="CA14" s="880">
        <f t="shared" si="11"/>
        <v>1149</v>
      </c>
      <c r="CB14" s="880">
        <f t="shared" si="11"/>
        <v>4156</v>
      </c>
      <c r="CC14" s="881">
        <f t="shared" si="11"/>
        <v>2560</v>
      </c>
      <c r="CD14" s="879">
        <f t="shared" si="11"/>
        <v>84.75</v>
      </c>
      <c r="CE14" s="880">
        <f t="shared" si="11"/>
        <v>108.5</v>
      </c>
      <c r="CF14" s="880">
        <f t="shared" si="11"/>
        <v>305.64</v>
      </c>
      <c r="CG14" s="881">
        <f t="shared" si="11"/>
        <v>345.05999999999995</v>
      </c>
      <c r="CH14" s="879">
        <f t="shared" si="11"/>
        <v>22.42</v>
      </c>
      <c r="CI14" s="880">
        <f t="shared" si="11"/>
        <v>24.29</v>
      </c>
      <c r="CJ14" s="880">
        <f t="shared" si="11"/>
        <v>67.96000000000001</v>
      </c>
      <c r="CK14" s="881">
        <f t="shared" si="11"/>
        <v>57.95</v>
      </c>
      <c r="CL14" s="880">
        <f t="shared" si="11"/>
        <v>38.300000000000004</v>
      </c>
      <c r="CM14" s="880">
        <f t="shared" si="11"/>
        <v>22.48</v>
      </c>
      <c r="CN14" s="880">
        <f t="shared" si="11"/>
        <v>125.13999999999999</v>
      </c>
      <c r="CO14" s="880">
        <f t="shared" si="11"/>
        <v>85.65</v>
      </c>
      <c r="CP14" s="1320">
        <f t="shared" si="1"/>
        <v>7936.307400000001</v>
      </c>
      <c r="CQ14" s="1320">
        <f t="shared" si="0"/>
        <v>6113.1799999999985</v>
      </c>
      <c r="CR14" s="1320">
        <f t="shared" si="0"/>
        <v>24730.460399999996</v>
      </c>
      <c r="CS14" s="1321">
        <f t="shared" si="2"/>
        <v>18300.957000000002</v>
      </c>
      <c r="CT14" s="886">
        <f>CT12+CT13</f>
        <v>30516.14</v>
      </c>
      <c r="CU14" s="886">
        <f>CU12+CU13</f>
        <v>19795.859999999997</v>
      </c>
      <c r="CV14" s="886">
        <f>CV12+CV13</f>
        <v>91179.11</v>
      </c>
      <c r="CW14" s="886">
        <f>CW12+CW13</f>
        <v>82789.16</v>
      </c>
      <c r="CX14" s="879">
        <f t="shared" si="3"/>
        <v>38452.4474</v>
      </c>
      <c r="CY14" s="883">
        <f t="shared" si="4"/>
        <v>25909.039999999994</v>
      </c>
      <c r="CZ14" s="883">
        <f t="shared" si="5"/>
        <v>115909.5704</v>
      </c>
      <c r="DA14" s="885">
        <f t="shared" si="6"/>
        <v>101090.117</v>
      </c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4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A12" sqref="A12:DA12"/>
    </sheetView>
  </sheetViews>
  <sheetFormatPr defaultColWidth="9.140625" defaultRowHeight="15"/>
  <cols>
    <col min="1" max="1" width="71.57421875" style="15" customWidth="1"/>
    <col min="2" max="3" width="11.7109375" style="15" bestFit="1" customWidth="1"/>
    <col min="4" max="5" width="12.8515625" style="15" bestFit="1" customWidth="1"/>
    <col min="6" max="7" width="11.7109375" style="15" bestFit="1" customWidth="1"/>
    <col min="8" max="9" width="12.8515625" style="15" bestFit="1" customWidth="1"/>
    <col min="10" max="11" width="11.7109375" style="15" bestFit="1" customWidth="1"/>
    <col min="12" max="13" width="12.8515625" style="15" bestFit="1" customWidth="1"/>
    <col min="14" max="15" width="11.7109375" style="15" bestFit="1" customWidth="1"/>
    <col min="16" max="17" width="12.8515625" style="15" bestFit="1" customWidth="1"/>
    <col min="18" max="19" width="11.7109375" style="15" bestFit="1" customWidth="1"/>
    <col min="20" max="21" width="12.8515625" style="15" bestFit="1" customWidth="1"/>
    <col min="22" max="23" width="11.7109375" style="15" bestFit="1" customWidth="1"/>
    <col min="24" max="25" width="12.8515625" style="15" bestFit="1" customWidth="1"/>
    <col min="26" max="27" width="11.7109375" style="15" bestFit="1" customWidth="1"/>
    <col min="28" max="29" width="12.8515625" style="15" bestFit="1" customWidth="1"/>
    <col min="30" max="31" width="11.7109375" style="55" bestFit="1" customWidth="1"/>
    <col min="32" max="33" width="12.8515625" style="55" bestFit="1" customWidth="1"/>
    <col min="34" max="35" width="11.7109375" style="15" bestFit="1" customWidth="1"/>
    <col min="36" max="37" width="12.8515625" style="15" bestFit="1" customWidth="1"/>
    <col min="38" max="39" width="11.7109375" style="15" bestFit="1" customWidth="1"/>
    <col min="40" max="41" width="12.8515625" style="15" bestFit="1" customWidth="1"/>
    <col min="42" max="43" width="11.7109375" style="15" bestFit="1" customWidth="1"/>
    <col min="44" max="45" width="12.8515625" style="15" bestFit="1" customWidth="1"/>
    <col min="46" max="47" width="11.7109375" style="15" bestFit="1" customWidth="1"/>
    <col min="48" max="49" width="12.8515625" style="15" bestFit="1" customWidth="1"/>
    <col min="50" max="51" width="11.7109375" style="55" bestFit="1" customWidth="1"/>
    <col min="52" max="53" width="12.8515625" style="55" bestFit="1" customWidth="1"/>
    <col min="54" max="55" width="11.7109375" style="15" bestFit="1" customWidth="1"/>
    <col min="56" max="57" width="12.8515625" style="15" bestFit="1" customWidth="1"/>
    <col min="58" max="59" width="11.7109375" style="15" bestFit="1" customWidth="1"/>
    <col min="60" max="61" width="12.8515625" style="15" bestFit="1" customWidth="1"/>
    <col min="62" max="63" width="11.7109375" style="15" bestFit="1" customWidth="1"/>
    <col min="64" max="65" width="12.8515625" style="15" bestFit="1" customWidth="1"/>
    <col min="66" max="67" width="11.7109375" style="15" bestFit="1" customWidth="1"/>
    <col min="68" max="69" width="12.8515625" style="15" bestFit="1" customWidth="1"/>
    <col min="70" max="71" width="11.7109375" style="15" bestFit="1" customWidth="1"/>
    <col min="72" max="73" width="12.8515625" style="15" bestFit="1" customWidth="1"/>
    <col min="74" max="75" width="11.7109375" style="15" bestFit="1" customWidth="1"/>
    <col min="76" max="77" width="12.8515625" style="15" bestFit="1" customWidth="1"/>
    <col min="78" max="79" width="11.7109375" style="15" bestFit="1" customWidth="1"/>
    <col min="80" max="81" width="12.8515625" style="15" bestFit="1" customWidth="1"/>
    <col min="82" max="83" width="11.7109375" style="15" bestFit="1" customWidth="1"/>
    <col min="84" max="85" width="12.8515625" style="15" bestFit="1" customWidth="1"/>
    <col min="86" max="87" width="11.7109375" style="15" bestFit="1" customWidth="1"/>
    <col min="88" max="89" width="12.8515625" style="15" bestFit="1" customWidth="1"/>
    <col min="90" max="91" width="11.7109375" style="15" bestFit="1" customWidth="1"/>
    <col min="92" max="93" width="12.8515625" style="15" bestFit="1" customWidth="1"/>
    <col min="94" max="95" width="11.7109375" style="15" bestFit="1" customWidth="1"/>
    <col min="96" max="97" width="12.8515625" style="15" bestFit="1" customWidth="1"/>
    <col min="98" max="99" width="11.7109375" style="15" bestFit="1" customWidth="1"/>
    <col min="100" max="101" width="12.8515625" style="15" bestFit="1" customWidth="1"/>
    <col min="102" max="103" width="11.7109375" style="15" bestFit="1" customWidth="1"/>
    <col min="104" max="105" width="12.8515625" style="15" bestFit="1" customWidth="1"/>
    <col min="106" max="16384" width="9.140625" style="15" customWidth="1"/>
  </cols>
  <sheetData>
    <row r="1" spans="1:103" ht="14.25">
      <c r="A1" s="1780" t="s">
        <v>16</v>
      </c>
      <c r="B1" s="1780"/>
      <c r="C1" s="1780"/>
      <c r="D1" s="1780"/>
      <c r="E1" s="1780"/>
      <c r="F1" s="1780"/>
      <c r="G1" s="1780"/>
      <c r="H1" s="1780"/>
      <c r="I1" s="1780"/>
      <c r="J1" s="1780"/>
      <c r="K1" s="1780"/>
      <c r="L1" s="1780"/>
      <c r="M1" s="1780"/>
      <c r="N1" s="1780"/>
      <c r="O1" s="1780"/>
      <c r="P1" s="1780"/>
      <c r="Q1" s="1780"/>
      <c r="R1" s="1780"/>
      <c r="S1" s="1780"/>
      <c r="T1" s="1780"/>
      <c r="U1" s="1780"/>
      <c r="V1" s="1780"/>
      <c r="W1" s="1780"/>
      <c r="X1" s="1780"/>
      <c r="Y1" s="1780"/>
      <c r="Z1" s="1780"/>
      <c r="AA1" s="1780"/>
      <c r="AB1" s="1780"/>
      <c r="AC1" s="1780"/>
      <c r="AD1" s="1780"/>
      <c r="AE1" s="1780"/>
      <c r="AF1" s="1780"/>
      <c r="AG1" s="1780"/>
      <c r="AH1" s="1780"/>
      <c r="AI1" s="1780"/>
      <c r="AJ1" s="1780"/>
      <c r="AK1" s="1780"/>
      <c r="AL1" s="1780"/>
      <c r="AM1" s="1780"/>
      <c r="AN1" s="1780"/>
      <c r="AO1" s="1780"/>
      <c r="AP1" s="1780"/>
      <c r="AQ1" s="1780"/>
      <c r="AR1" s="1780"/>
      <c r="AS1" s="1780"/>
      <c r="AT1" s="1780"/>
      <c r="AU1" s="1780"/>
      <c r="AV1" s="1780"/>
      <c r="AW1" s="1780"/>
      <c r="AX1" s="1780"/>
      <c r="AY1" s="1780"/>
      <c r="AZ1" s="1780"/>
      <c r="BA1" s="1780"/>
      <c r="BB1" s="1780"/>
      <c r="BC1" s="1780"/>
      <c r="BD1" s="1780"/>
      <c r="BE1" s="1780"/>
      <c r="BF1" s="1780"/>
      <c r="BG1" s="1780"/>
      <c r="BH1" s="1780"/>
      <c r="BI1" s="1780"/>
      <c r="BJ1" s="1780"/>
      <c r="BK1" s="1780"/>
      <c r="BL1" s="1780"/>
      <c r="BM1" s="1780"/>
      <c r="BN1" s="1780"/>
      <c r="BO1" s="1780"/>
      <c r="BP1" s="1780"/>
      <c r="BQ1" s="1780"/>
      <c r="BR1" s="1780"/>
      <c r="BS1" s="1780"/>
      <c r="BT1" s="1780"/>
      <c r="BU1" s="1780"/>
      <c r="BV1" s="1780"/>
      <c r="BW1" s="1780"/>
      <c r="BX1" s="1780"/>
      <c r="BY1" s="1780"/>
      <c r="BZ1" s="1780"/>
      <c r="CA1" s="1780"/>
      <c r="CB1" s="1780"/>
      <c r="CC1" s="1780"/>
      <c r="CD1" s="1780"/>
      <c r="CE1" s="1780"/>
      <c r="CF1" s="1780"/>
      <c r="CG1" s="1780"/>
      <c r="CH1" s="1780"/>
      <c r="CI1" s="1780"/>
      <c r="CJ1" s="1780"/>
      <c r="CK1" s="1780"/>
      <c r="CL1" s="1780"/>
      <c r="CM1" s="1780"/>
      <c r="CN1" s="1780"/>
      <c r="CO1" s="1780"/>
      <c r="CP1" s="1780"/>
      <c r="CQ1" s="1780"/>
      <c r="CR1" s="1780"/>
      <c r="CS1" s="1780"/>
      <c r="CT1" s="1780"/>
      <c r="CU1" s="1780"/>
      <c r="CV1" s="1780"/>
      <c r="CW1" s="1780"/>
      <c r="CX1" s="1780"/>
      <c r="CY1" s="1780"/>
    </row>
    <row r="2" spans="1:103" ht="15" thickBot="1">
      <c r="A2" s="1748"/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  <c r="O2" s="1748"/>
      <c r="P2" s="1748"/>
      <c r="Q2" s="1748"/>
      <c r="R2" s="1748"/>
      <c r="S2" s="1748"/>
      <c r="T2" s="1748"/>
      <c r="U2" s="1748"/>
      <c r="V2" s="1748"/>
      <c r="W2" s="1748"/>
      <c r="X2" s="1748"/>
      <c r="Y2" s="1748"/>
      <c r="Z2" s="1748"/>
      <c r="AA2" s="1748"/>
      <c r="AB2" s="1748"/>
      <c r="AC2" s="1748"/>
      <c r="AD2" s="1748"/>
      <c r="AE2" s="1748"/>
      <c r="AF2" s="1748"/>
      <c r="AG2" s="1748"/>
      <c r="AH2" s="1748"/>
      <c r="AI2" s="1748"/>
      <c r="AJ2" s="1748"/>
      <c r="AK2" s="1748"/>
      <c r="AL2" s="1748"/>
      <c r="AM2" s="1748"/>
      <c r="AN2" s="1748"/>
      <c r="AO2" s="1748"/>
      <c r="AP2" s="1748"/>
      <c r="AQ2" s="1748"/>
      <c r="AR2" s="1748"/>
      <c r="AS2" s="1748"/>
      <c r="AT2" s="1748"/>
      <c r="AU2" s="1748"/>
      <c r="AV2" s="1748"/>
      <c r="AW2" s="1748"/>
      <c r="AX2" s="1748"/>
      <c r="AY2" s="1748"/>
      <c r="AZ2" s="1748"/>
      <c r="BA2" s="1748"/>
      <c r="BB2" s="1748"/>
      <c r="BC2" s="1748"/>
      <c r="BD2" s="1748"/>
      <c r="BE2" s="1748"/>
      <c r="BF2" s="1748"/>
      <c r="BG2" s="1748"/>
      <c r="BH2" s="1748"/>
      <c r="BI2" s="1748"/>
      <c r="BJ2" s="1748"/>
      <c r="BK2" s="1748"/>
      <c r="BL2" s="1748"/>
      <c r="BM2" s="1748"/>
      <c r="BN2" s="1748"/>
      <c r="BO2" s="1748"/>
      <c r="BP2" s="1748"/>
      <c r="BQ2" s="1748"/>
      <c r="BR2" s="1748"/>
      <c r="BS2" s="1748"/>
      <c r="BT2" s="1748"/>
      <c r="BU2" s="1748"/>
      <c r="BV2" s="1748"/>
      <c r="BW2" s="1748"/>
      <c r="BX2" s="1748"/>
      <c r="BY2" s="1748"/>
      <c r="BZ2" s="1748"/>
      <c r="CA2" s="1748"/>
      <c r="CB2" s="1748"/>
      <c r="CC2" s="1748"/>
      <c r="CD2" s="1748"/>
      <c r="CE2" s="1748"/>
      <c r="CF2" s="1748"/>
      <c r="CG2" s="1748"/>
      <c r="CH2" s="1748"/>
      <c r="CI2" s="1748"/>
      <c r="CJ2" s="1748"/>
      <c r="CK2" s="1748"/>
      <c r="CL2" s="1748"/>
      <c r="CM2" s="1748"/>
      <c r="CN2" s="1748"/>
      <c r="CO2" s="1748"/>
      <c r="CP2" s="1748"/>
      <c r="CQ2" s="1748"/>
      <c r="CR2" s="1748"/>
      <c r="CS2" s="1748"/>
      <c r="CT2" s="1748"/>
      <c r="CU2" s="1748"/>
      <c r="CV2" s="1748"/>
      <c r="CW2" s="1748"/>
      <c r="CX2" s="1748"/>
      <c r="CY2" s="1748"/>
    </row>
    <row r="3" spans="1:105" ht="14.25">
      <c r="A3" s="1817" t="s">
        <v>0</v>
      </c>
      <c r="B3" s="1830" t="s">
        <v>190</v>
      </c>
      <c r="C3" s="1831"/>
      <c r="D3" s="1831"/>
      <c r="E3" s="1832"/>
      <c r="F3" s="1783" t="s">
        <v>191</v>
      </c>
      <c r="G3" s="1783"/>
      <c r="H3" s="1783"/>
      <c r="I3" s="1784"/>
      <c r="J3" s="1783" t="s">
        <v>192</v>
      </c>
      <c r="K3" s="1783"/>
      <c r="L3" s="1783"/>
      <c r="M3" s="1784"/>
      <c r="N3" s="1808" t="s">
        <v>193</v>
      </c>
      <c r="O3" s="1806"/>
      <c r="P3" s="1806"/>
      <c r="Q3" s="1807"/>
      <c r="R3" s="1808" t="s">
        <v>194</v>
      </c>
      <c r="S3" s="1806"/>
      <c r="T3" s="1806"/>
      <c r="U3" s="1807"/>
      <c r="V3" s="1808" t="s">
        <v>195</v>
      </c>
      <c r="W3" s="1806"/>
      <c r="X3" s="1806"/>
      <c r="Y3" s="1807"/>
      <c r="Z3" s="1808" t="s">
        <v>196</v>
      </c>
      <c r="AA3" s="1806"/>
      <c r="AB3" s="1806"/>
      <c r="AC3" s="1807"/>
      <c r="AD3" s="1769" t="s">
        <v>197</v>
      </c>
      <c r="AE3" s="1770"/>
      <c r="AF3" s="1770"/>
      <c r="AG3" s="1771"/>
      <c r="AH3" s="1808" t="s">
        <v>198</v>
      </c>
      <c r="AI3" s="1806"/>
      <c r="AJ3" s="1806"/>
      <c r="AK3" s="1807"/>
      <c r="AL3" s="1808" t="s">
        <v>199</v>
      </c>
      <c r="AM3" s="1806"/>
      <c r="AN3" s="1806"/>
      <c r="AO3" s="1807"/>
      <c r="AP3" s="1808" t="s">
        <v>200</v>
      </c>
      <c r="AQ3" s="1806"/>
      <c r="AR3" s="1806"/>
      <c r="AS3" s="1807"/>
      <c r="AT3" s="1808" t="s">
        <v>201</v>
      </c>
      <c r="AU3" s="1806"/>
      <c r="AV3" s="1806"/>
      <c r="AW3" s="1807"/>
      <c r="AX3" s="1769" t="s">
        <v>202</v>
      </c>
      <c r="AY3" s="1770"/>
      <c r="AZ3" s="1770"/>
      <c r="BA3" s="1771"/>
      <c r="BB3" s="1805" t="s">
        <v>203</v>
      </c>
      <c r="BC3" s="1806"/>
      <c r="BD3" s="1806"/>
      <c r="BE3" s="1807"/>
      <c r="BF3" s="1788" t="s">
        <v>204</v>
      </c>
      <c r="BG3" s="1789"/>
      <c r="BH3" s="1789"/>
      <c r="BI3" s="1790"/>
      <c r="BJ3" s="1808" t="s">
        <v>205</v>
      </c>
      <c r="BK3" s="1806"/>
      <c r="BL3" s="1806"/>
      <c r="BM3" s="1807"/>
      <c r="BN3" s="1808" t="s">
        <v>206</v>
      </c>
      <c r="BO3" s="1806"/>
      <c r="BP3" s="1806"/>
      <c r="BQ3" s="1807"/>
      <c r="BR3" s="1808" t="s">
        <v>207</v>
      </c>
      <c r="BS3" s="1806"/>
      <c r="BT3" s="1806"/>
      <c r="BU3" s="1807"/>
      <c r="BV3" s="1788" t="s">
        <v>208</v>
      </c>
      <c r="BW3" s="1789"/>
      <c r="BX3" s="1789"/>
      <c r="BY3" s="1790"/>
      <c r="BZ3" s="1808" t="s">
        <v>209</v>
      </c>
      <c r="CA3" s="1806"/>
      <c r="CB3" s="1806"/>
      <c r="CC3" s="1807"/>
      <c r="CD3" s="1808" t="s">
        <v>210</v>
      </c>
      <c r="CE3" s="1806"/>
      <c r="CF3" s="1806"/>
      <c r="CG3" s="1807"/>
      <c r="CH3" s="1808" t="s">
        <v>211</v>
      </c>
      <c r="CI3" s="1806"/>
      <c r="CJ3" s="1806"/>
      <c r="CK3" s="1807"/>
      <c r="CL3" s="1808" t="s">
        <v>212</v>
      </c>
      <c r="CM3" s="1806"/>
      <c r="CN3" s="1806"/>
      <c r="CO3" s="1807"/>
      <c r="CP3" s="1805" t="s">
        <v>1</v>
      </c>
      <c r="CQ3" s="1806"/>
      <c r="CR3" s="1806"/>
      <c r="CS3" s="1807"/>
      <c r="CT3" s="1788" t="s">
        <v>213</v>
      </c>
      <c r="CU3" s="1789"/>
      <c r="CV3" s="1789"/>
      <c r="CW3" s="1790"/>
      <c r="CX3" s="1788" t="s">
        <v>2</v>
      </c>
      <c r="CY3" s="1789"/>
      <c r="CZ3" s="1789"/>
      <c r="DA3" s="1790"/>
    </row>
    <row r="4" spans="1:105" s="861" customFormat="1" ht="15" thickBot="1">
      <c r="A4" s="1818"/>
      <c r="B4" s="1572" t="s">
        <v>285</v>
      </c>
      <c r="C4" s="1573" t="s">
        <v>286</v>
      </c>
      <c r="D4" s="1573" t="s">
        <v>287</v>
      </c>
      <c r="E4" s="1574" t="s">
        <v>288</v>
      </c>
      <c r="F4" s="1575" t="s">
        <v>285</v>
      </c>
      <c r="G4" s="1573" t="s">
        <v>286</v>
      </c>
      <c r="H4" s="1573" t="s">
        <v>287</v>
      </c>
      <c r="I4" s="1574" t="s">
        <v>288</v>
      </c>
      <c r="J4" s="1575" t="s">
        <v>285</v>
      </c>
      <c r="K4" s="1573" t="s">
        <v>286</v>
      </c>
      <c r="L4" s="1573" t="s">
        <v>287</v>
      </c>
      <c r="M4" s="1574" t="s">
        <v>288</v>
      </c>
      <c r="N4" s="1575" t="s">
        <v>285</v>
      </c>
      <c r="O4" s="1573" t="s">
        <v>286</v>
      </c>
      <c r="P4" s="1573" t="s">
        <v>287</v>
      </c>
      <c r="Q4" s="1574" t="s">
        <v>288</v>
      </c>
      <c r="R4" s="1575" t="s">
        <v>285</v>
      </c>
      <c r="S4" s="1573" t="s">
        <v>286</v>
      </c>
      <c r="T4" s="1573" t="s">
        <v>287</v>
      </c>
      <c r="U4" s="1574" t="s">
        <v>288</v>
      </c>
      <c r="V4" s="1575" t="s">
        <v>285</v>
      </c>
      <c r="W4" s="1573" t="s">
        <v>286</v>
      </c>
      <c r="X4" s="1573" t="s">
        <v>287</v>
      </c>
      <c r="Y4" s="1574" t="s">
        <v>288</v>
      </c>
      <c r="Z4" s="1575" t="s">
        <v>285</v>
      </c>
      <c r="AA4" s="1573" t="s">
        <v>286</v>
      </c>
      <c r="AB4" s="1573" t="s">
        <v>287</v>
      </c>
      <c r="AC4" s="1574" t="s">
        <v>288</v>
      </c>
      <c r="AD4" s="1575" t="s">
        <v>285</v>
      </c>
      <c r="AE4" s="1573" t="s">
        <v>286</v>
      </c>
      <c r="AF4" s="1573" t="s">
        <v>287</v>
      </c>
      <c r="AG4" s="1574" t="s">
        <v>288</v>
      </c>
      <c r="AH4" s="1575" t="s">
        <v>285</v>
      </c>
      <c r="AI4" s="1573" t="s">
        <v>286</v>
      </c>
      <c r="AJ4" s="1573" t="s">
        <v>287</v>
      </c>
      <c r="AK4" s="1574" t="s">
        <v>288</v>
      </c>
      <c r="AL4" s="1575" t="s">
        <v>285</v>
      </c>
      <c r="AM4" s="1573" t="s">
        <v>286</v>
      </c>
      <c r="AN4" s="1573" t="s">
        <v>287</v>
      </c>
      <c r="AO4" s="1574" t="s">
        <v>288</v>
      </c>
      <c r="AP4" s="1575" t="s">
        <v>285</v>
      </c>
      <c r="AQ4" s="1573" t="s">
        <v>286</v>
      </c>
      <c r="AR4" s="1573" t="s">
        <v>287</v>
      </c>
      <c r="AS4" s="1574" t="s">
        <v>288</v>
      </c>
      <c r="AT4" s="1575" t="s">
        <v>285</v>
      </c>
      <c r="AU4" s="1573" t="s">
        <v>286</v>
      </c>
      <c r="AV4" s="1573" t="s">
        <v>287</v>
      </c>
      <c r="AW4" s="1574" t="s">
        <v>288</v>
      </c>
      <c r="AX4" s="1575" t="s">
        <v>285</v>
      </c>
      <c r="AY4" s="1573" t="s">
        <v>286</v>
      </c>
      <c r="AZ4" s="1573" t="s">
        <v>287</v>
      </c>
      <c r="BA4" s="1574" t="s">
        <v>288</v>
      </c>
      <c r="BB4" s="1572" t="s">
        <v>285</v>
      </c>
      <c r="BC4" s="1573" t="s">
        <v>286</v>
      </c>
      <c r="BD4" s="1573" t="s">
        <v>287</v>
      </c>
      <c r="BE4" s="1574" t="s">
        <v>288</v>
      </c>
      <c r="BF4" s="1575" t="s">
        <v>285</v>
      </c>
      <c r="BG4" s="1573" t="s">
        <v>286</v>
      </c>
      <c r="BH4" s="1573" t="s">
        <v>287</v>
      </c>
      <c r="BI4" s="1574" t="s">
        <v>288</v>
      </c>
      <c r="BJ4" s="1575" t="s">
        <v>285</v>
      </c>
      <c r="BK4" s="1573" t="s">
        <v>286</v>
      </c>
      <c r="BL4" s="1573" t="s">
        <v>287</v>
      </c>
      <c r="BM4" s="1574" t="s">
        <v>288</v>
      </c>
      <c r="BN4" s="1575" t="s">
        <v>285</v>
      </c>
      <c r="BO4" s="1573" t="s">
        <v>286</v>
      </c>
      <c r="BP4" s="1573" t="s">
        <v>287</v>
      </c>
      <c r="BQ4" s="1574" t="s">
        <v>288</v>
      </c>
      <c r="BR4" s="1575" t="s">
        <v>285</v>
      </c>
      <c r="BS4" s="1573" t="s">
        <v>286</v>
      </c>
      <c r="BT4" s="1573" t="s">
        <v>287</v>
      </c>
      <c r="BU4" s="1574" t="s">
        <v>288</v>
      </c>
      <c r="BV4" s="1575" t="s">
        <v>285</v>
      </c>
      <c r="BW4" s="1573" t="s">
        <v>286</v>
      </c>
      <c r="BX4" s="1573" t="s">
        <v>287</v>
      </c>
      <c r="BY4" s="1574" t="s">
        <v>288</v>
      </c>
      <c r="BZ4" s="1575" t="s">
        <v>285</v>
      </c>
      <c r="CA4" s="1573" t="s">
        <v>286</v>
      </c>
      <c r="CB4" s="1573" t="s">
        <v>287</v>
      </c>
      <c r="CC4" s="1574" t="s">
        <v>288</v>
      </c>
      <c r="CD4" s="1575" t="s">
        <v>285</v>
      </c>
      <c r="CE4" s="1573" t="s">
        <v>286</v>
      </c>
      <c r="CF4" s="1573" t="s">
        <v>287</v>
      </c>
      <c r="CG4" s="1574" t="s">
        <v>288</v>
      </c>
      <c r="CH4" s="1575" t="s">
        <v>285</v>
      </c>
      <c r="CI4" s="1573" t="s">
        <v>286</v>
      </c>
      <c r="CJ4" s="1573" t="s">
        <v>287</v>
      </c>
      <c r="CK4" s="1574" t="s">
        <v>288</v>
      </c>
      <c r="CL4" s="1575" t="s">
        <v>285</v>
      </c>
      <c r="CM4" s="1573" t="s">
        <v>286</v>
      </c>
      <c r="CN4" s="1573" t="s">
        <v>287</v>
      </c>
      <c r="CO4" s="1574" t="s">
        <v>288</v>
      </c>
      <c r="CP4" s="1572" t="s">
        <v>285</v>
      </c>
      <c r="CQ4" s="1573" t="s">
        <v>286</v>
      </c>
      <c r="CR4" s="1573" t="s">
        <v>287</v>
      </c>
      <c r="CS4" s="1574" t="s">
        <v>288</v>
      </c>
      <c r="CT4" s="1575" t="s">
        <v>285</v>
      </c>
      <c r="CU4" s="1573" t="s">
        <v>286</v>
      </c>
      <c r="CV4" s="1573" t="s">
        <v>287</v>
      </c>
      <c r="CW4" s="1574" t="s">
        <v>288</v>
      </c>
      <c r="CX4" s="1575" t="s">
        <v>285</v>
      </c>
      <c r="CY4" s="1573" t="s">
        <v>286</v>
      </c>
      <c r="CZ4" s="1573" t="s">
        <v>287</v>
      </c>
      <c r="DA4" s="1574" t="s">
        <v>288</v>
      </c>
    </row>
    <row r="5" spans="1:105" s="1559" customFormat="1" ht="13.5">
      <c r="A5" s="703" t="s">
        <v>6</v>
      </c>
      <c r="B5" s="991">
        <v>2353</v>
      </c>
      <c r="C5" s="986">
        <v>9873</v>
      </c>
      <c r="D5" s="986">
        <v>14303</v>
      </c>
      <c r="E5" s="987">
        <v>22991</v>
      </c>
      <c r="F5" s="985"/>
      <c r="G5" s="986"/>
      <c r="H5" s="986"/>
      <c r="I5" s="987"/>
      <c r="J5" s="985">
        <v>122</v>
      </c>
      <c r="K5" s="986">
        <v>668</v>
      </c>
      <c r="L5" s="986">
        <v>2184</v>
      </c>
      <c r="M5" s="987">
        <v>4226</v>
      </c>
      <c r="N5" s="985">
        <v>3023</v>
      </c>
      <c r="O5" s="986">
        <v>889</v>
      </c>
      <c r="P5" s="986">
        <v>7197</v>
      </c>
      <c r="Q5" s="987">
        <v>5686</v>
      </c>
      <c r="R5" s="985"/>
      <c r="S5" s="986"/>
      <c r="T5" s="986"/>
      <c r="U5" s="987"/>
      <c r="V5" s="985"/>
      <c r="W5" s="986"/>
      <c r="X5" s="986"/>
      <c r="Y5" s="987"/>
      <c r="Z5" s="985"/>
      <c r="AA5" s="986"/>
      <c r="AB5" s="986"/>
      <c r="AC5" s="987"/>
      <c r="AD5" s="985">
        <v>2714</v>
      </c>
      <c r="AE5" s="986">
        <v>1027</v>
      </c>
      <c r="AF5" s="986">
        <v>601</v>
      </c>
      <c r="AG5" s="987">
        <v>412</v>
      </c>
      <c r="AH5" s="985"/>
      <c r="AI5" s="986"/>
      <c r="AJ5" s="986"/>
      <c r="AK5" s="987"/>
      <c r="AL5" s="985">
        <v>2344</v>
      </c>
      <c r="AM5" s="986">
        <v>674</v>
      </c>
      <c r="AN5" s="986">
        <v>3493</v>
      </c>
      <c r="AO5" s="987">
        <v>1844</v>
      </c>
      <c r="AP5" s="985">
        <v>145</v>
      </c>
      <c r="AQ5" s="22">
        <v>2555</v>
      </c>
      <c r="AR5" s="986">
        <v>2498</v>
      </c>
      <c r="AS5" s="987">
        <v>4118</v>
      </c>
      <c r="AT5" s="985">
        <v>318483</v>
      </c>
      <c r="AU5" s="986">
        <v>3789</v>
      </c>
      <c r="AV5" s="986">
        <v>628161</v>
      </c>
      <c r="AW5" s="987">
        <v>13735</v>
      </c>
      <c r="AX5" s="985"/>
      <c r="AY5" s="986"/>
      <c r="AZ5" s="986"/>
      <c r="BA5" s="1569">
        <v>-6</v>
      </c>
      <c r="BB5" s="691">
        <v>0</v>
      </c>
      <c r="BC5" s="56">
        <v>0</v>
      </c>
      <c r="BD5" s="56">
        <v>0</v>
      </c>
      <c r="BE5" s="332">
        <v>0</v>
      </c>
      <c r="BF5" s="985">
        <v>117</v>
      </c>
      <c r="BG5" s="986">
        <v>42</v>
      </c>
      <c r="BH5" s="986">
        <v>152</v>
      </c>
      <c r="BI5" s="987">
        <v>2473</v>
      </c>
      <c r="BJ5" s="985">
        <v>1132187</v>
      </c>
      <c r="BK5" s="986">
        <v>16936</v>
      </c>
      <c r="BL5" s="986">
        <v>2432873</v>
      </c>
      <c r="BM5" s="986">
        <v>22921</v>
      </c>
      <c r="BN5" s="985">
        <v>-113</v>
      </c>
      <c r="BO5" s="986">
        <v>37</v>
      </c>
      <c r="BP5" s="986">
        <v>346</v>
      </c>
      <c r="BQ5" s="987">
        <v>3672</v>
      </c>
      <c r="BR5" s="985"/>
      <c r="BS5" s="986"/>
      <c r="BT5" s="986"/>
      <c r="BU5" s="987">
        <v>148</v>
      </c>
      <c r="BV5" s="985"/>
      <c r="BW5" s="986"/>
      <c r="BX5" s="986"/>
      <c r="BY5" s="987"/>
      <c r="BZ5" s="1570">
        <v>7736</v>
      </c>
      <c r="CA5" s="1547">
        <v>16238</v>
      </c>
      <c r="CB5" s="1547">
        <v>31858</v>
      </c>
      <c r="CC5" s="1548">
        <v>99420</v>
      </c>
      <c r="CD5" s="985"/>
      <c r="CE5" s="986"/>
      <c r="CF5" s="986"/>
      <c r="CG5" s="987"/>
      <c r="CH5" s="985">
        <v>-5</v>
      </c>
      <c r="CI5" s="986">
        <v>28</v>
      </c>
      <c r="CJ5" s="986">
        <v>47</v>
      </c>
      <c r="CK5" s="987">
        <v>98</v>
      </c>
      <c r="CL5" s="985">
        <v>2512</v>
      </c>
      <c r="CM5" s="986">
        <v>61</v>
      </c>
      <c r="CN5" s="986">
        <v>6224</v>
      </c>
      <c r="CO5" s="987">
        <v>3618</v>
      </c>
      <c r="CP5" s="991">
        <f>SUM(B5+F5+J5+N5+R5+V5+Z5+AD5+AH5+AL5+AP5+AT5+AX5+AD5+BF5+BJ5+BN5+BR5+BV5+BZ5+CD5+CH5+CL5)</f>
        <v>1474332</v>
      </c>
      <c r="CQ5" s="985">
        <f>SUM(C5+G5+K5+O5+S5+W5+AA5+AE5+AI5+AM5+AQ5+AU5+AY5+AE5+BG5+BK5+BO5+BS5+BW5+CA5+CE5+CI5+CM5)</f>
        <v>53844</v>
      </c>
      <c r="CR5" s="985">
        <f>SUM(D5+H5+L5+P5+T5+X5+AB5+AF5+AJ5+AN5+AR5+AV5+AZ5+AF5+BH5+BL5+BP5+BT5+BX5+CB5+CF5+CJ5+CN5)</f>
        <v>3130538</v>
      </c>
      <c r="CS5" s="1571">
        <f>SUM(E5+I5+M5+Q5+U5+Y5+AC5+AG5+AK5+AO5+AS5+AW5+BA5+AG5+BI5+BM5+BQ5+BU5+BY5+CC5+CG5+CK5+CO5)</f>
        <v>185768</v>
      </c>
      <c r="CT5" s="985">
        <v>767541</v>
      </c>
      <c r="CU5" s="986">
        <v>523589</v>
      </c>
      <c r="CV5" s="986">
        <v>2458045</v>
      </c>
      <c r="CW5" s="987">
        <v>1505378</v>
      </c>
      <c r="CX5" s="985">
        <f>CP5+CT5</f>
        <v>2241873</v>
      </c>
      <c r="CY5" s="985">
        <f aca="true" t="shared" si="0" ref="CY5:DA14">CQ5+CU5</f>
        <v>577433</v>
      </c>
      <c r="CZ5" s="985">
        <f t="shared" si="0"/>
        <v>5588583</v>
      </c>
      <c r="DA5" s="1571">
        <f t="shared" si="0"/>
        <v>1691146</v>
      </c>
    </row>
    <row r="6" spans="1:105" s="1559" customFormat="1" ht="13.5">
      <c r="A6" s="703" t="s">
        <v>7</v>
      </c>
      <c r="B6" s="19">
        <v>431621</v>
      </c>
      <c r="C6" s="17">
        <v>1224</v>
      </c>
      <c r="D6" s="17">
        <v>1233993</v>
      </c>
      <c r="E6" s="21">
        <v>3114</v>
      </c>
      <c r="F6" s="50"/>
      <c r="G6" s="47">
        <v>310</v>
      </c>
      <c r="H6" s="47"/>
      <c r="I6" s="51">
        <v>860</v>
      </c>
      <c r="J6" s="50">
        <v>12</v>
      </c>
      <c r="K6" s="47"/>
      <c r="L6" s="47">
        <v>12</v>
      </c>
      <c r="M6" s="51">
        <v>1</v>
      </c>
      <c r="N6" s="50">
        <v>4561119</v>
      </c>
      <c r="O6" s="47">
        <v>4072744</v>
      </c>
      <c r="P6" s="47">
        <v>12548564</v>
      </c>
      <c r="Q6" s="51">
        <v>4076807</v>
      </c>
      <c r="R6" s="50">
        <v>11143</v>
      </c>
      <c r="S6" s="47"/>
      <c r="T6" s="47">
        <v>21691</v>
      </c>
      <c r="U6" s="51"/>
      <c r="V6" s="50">
        <v>595103</v>
      </c>
      <c r="W6" s="47">
        <v>62621</v>
      </c>
      <c r="X6" s="47">
        <v>2607002</v>
      </c>
      <c r="Y6" s="51">
        <v>1386789</v>
      </c>
      <c r="Z6" s="50">
        <v>55</v>
      </c>
      <c r="AA6" s="47">
        <v>1336</v>
      </c>
      <c r="AB6" s="47">
        <v>6281</v>
      </c>
      <c r="AC6" s="51">
        <v>4136</v>
      </c>
      <c r="AD6" s="50"/>
      <c r="AE6" s="47"/>
      <c r="AF6" s="47"/>
      <c r="AG6" s="51"/>
      <c r="AH6" s="50">
        <v>154</v>
      </c>
      <c r="AI6" s="47">
        <v>41</v>
      </c>
      <c r="AJ6" s="47">
        <v>373</v>
      </c>
      <c r="AK6" s="51">
        <v>41</v>
      </c>
      <c r="AL6" s="50">
        <v>8569</v>
      </c>
      <c r="AM6" s="47"/>
      <c r="AN6" s="47">
        <v>24756</v>
      </c>
      <c r="AO6" s="51">
        <v>91</v>
      </c>
      <c r="AP6" s="50">
        <v>7418894</v>
      </c>
      <c r="AQ6" s="1474">
        <v>4603383</v>
      </c>
      <c r="AR6" s="47">
        <v>22433341</v>
      </c>
      <c r="AS6" s="51">
        <v>8676330</v>
      </c>
      <c r="AT6" s="50">
        <v>124692</v>
      </c>
      <c r="AU6" s="47">
        <v>46274</v>
      </c>
      <c r="AV6" s="47">
        <v>316855</v>
      </c>
      <c r="AW6" s="51">
        <v>130104</v>
      </c>
      <c r="AX6" s="1560">
        <v>7796</v>
      </c>
      <c r="AY6" s="1561">
        <v>4634</v>
      </c>
      <c r="AZ6" s="1561">
        <v>21078</v>
      </c>
      <c r="BA6" s="1562">
        <v>16926</v>
      </c>
      <c r="BB6" s="48">
        <v>135340</v>
      </c>
      <c r="BC6" s="47">
        <v>194678</v>
      </c>
      <c r="BD6" s="47">
        <v>807404</v>
      </c>
      <c r="BE6" s="51">
        <v>875983</v>
      </c>
      <c r="BF6" s="50">
        <v>336735</v>
      </c>
      <c r="BG6" s="47">
        <v>66094</v>
      </c>
      <c r="BH6" s="47">
        <v>636516</v>
      </c>
      <c r="BI6" s="51">
        <v>90314</v>
      </c>
      <c r="BJ6" s="50">
        <v>43319</v>
      </c>
      <c r="BK6" s="47">
        <v>43291</v>
      </c>
      <c r="BL6" s="47">
        <v>153584</v>
      </c>
      <c r="BM6" s="47">
        <v>143436</v>
      </c>
      <c r="BN6" s="50">
        <v>42262</v>
      </c>
      <c r="BO6" s="47">
        <v>15546</v>
      </c>
      <c r="BP6" s="47">
        <v>102131</v>
      </c>
      <c r="BQ6" s="51">
        <v>73426</v>
      </c>
      <c r="BR6" s="50"/>
      <c r="BS6" s="47"/>
      <c r="BT6" s="47"/>
      <c r="BU6" s="51"/>
      <c r="BV6" s="1563"/>
      <c r="BW6" s="47"/>
      <c r="BX6" s="47"/>
      <c r="BY6" s="51"/>
      <c r="BZ6" s="1556">
        <v>227715</v>
      </c>
      <c r="CA6" s="1557">
        <v>261330</v>
      </c>
      <c r="CB6" s="1557">
        <v>546060</v>
      </c>
      <c r="CC6" s="1558">
        <v>543381</v>
      </c>
      <c r="CD6" s="1564">
        <v>3</v>
      </c>
      <c r="CE6" s="1565"/>
      <c r="CF6" s="1565">
        <v>5</v>
      </c>
      <c r="CG6" s="1566"/>
      <c r="CH6" s="42">
        <v>351055</v>
      </c>
      <c r="CI6" s="43">
        <v>126297</v>
      </c>
      <c r="CJ6" s="43">
        <v>648163</v>
      </c>
      <c r="CK6" s="44">
        <v>357688</v>
      </c>
      <c r="CL6" s="50">
        <v>3</v>
      </c>
      <c r="CM6" s="47">
        <v>2</v>
      </c>
      <c r="CN6" s="47">
        <v>60</v>
      </c>
      <c r="CO6" s="51">
        <v>128</v>
      </c>
      <c r="CP6" s="19">
        <f aca="true" t="shared" si="1" ref="CP6:CP14">SUM(B6+F6+J6+N6+R6+V6+Z6+AD6+AH6+AL6+AP6+AT6+AX6+AD6+BF6+BJ6+BN6+BR6+BV6+BZ6+CD6+CH6+CL6)</f>
        <v>14160250</v>
      </c>
      <c r="CQ6" s="20">
        <f aca="true" t="shared" si="2" ref="CQ6:CQ14">SUM(C6+G6+K6+O6+S6+W6+AA6+AE6+AI6+AM6+AQ6+AU6+AY6+AE6+BG6+BK6+BO6+BS6+BW6+CA6+CE6+CI6+CM6)</f>
        <v>9305127</v>
      </c>
      <c r="CR6" s="20">
        <f aca="true" t="shared" si="3" ref="CR6:CR14">SUM(D6+H6+L6+P6+T6+X6+AB6+AF6+AJ6+AN6+AR6+AV6+AZ6+AF6+BH6+BL6+BP6+BT6+BX6+CB6+CF6+CJ6+CN6)</f>
        <v>41300465</v>
      </c>
      <c r="CS6" s="645">
        <f aca="true" t="shared" si="4" ref="CS6:CS14">SUM(E6+I6+M6+Q6+U6+Y6+AC6+AG6+AK6+AO6+AS6+AW6+BA6+AG6+BI6+BM6+BQ6+BU6+BY6+CC6+CG6+CK6+CO6)</f>
        <v>15503572</v>
      </c>
      <c r="CT6" s="42">
        <v>22180</v>
      </c>
      <c r="CU6" s="43">
        <v>8556</v>
      </c>
      <c r="CV6" s="43">
        <v>56463</v>
      </c>
      <c r="CW6" s="44">
        <v>12636</v>
      </c>
      <c r="CX6" s="20">
        <f aca="true" t="shared" si="5" ref="CX6:CX14">CP6+CT6</f>
        <v>14182430</v>
      </c>
      <c r="CY6" s="20">
        <f t="shared" si="0"/>
        <v>9313683</v>
      </c>
      <c r="CZ6" s="20">
        <f t="shared" si="0"/>
        <v>41356928</v>
      </c>
      <c r="DA6" s="645">
        <f t="shared" si="0"/>
        <v>15516208</v>
      </c>
    </row>
    <row r="7" spans="1:105" s="1559" customFormat="1" ht="13.5">
      <c r="A7" s="703" t="s">
        <v>8</v>
      </c>
      <c r="B7" s="19">
        <v>7273</v>
      </c>
      <c r="C7" s="17">
        <v>313581</v>
      </c>
      <c r="D7" s="17">
        <v>18002</v>
      </c>
      <c r="E7" s="21">
        <v>662785</v>
      </c>
      <c r="F7" s="50"/>
      <c r="G7" s="47"/>
      <c r="H7" s="47"/>
      <c r="I7" s="51"/>
      <c r="J7" s="50"/>
      <c r="K7" s="47"/>
      <c r="L7" s="47"/>
      <c r="M7" s="51"/>
      <c r="N7" s="50">
        <v>1754977</v>
      </c>
      <c r="O7" s="47">
        <v>2917343</v>
      </c>
      <c r="P7" s="47">
        <v>6865907</v>
      </c>
      <c r="Q7" s="51">
        <v>7848820</v>
      </c>
      <c r="R7" s="50">
        <v>25</v>
      </c>
      <c r="S7" s="47"/>
      <c r="T7" s="47">
        <v>71</v>
      </c>
      <c r="U7" s="51"/>
      <c r="V7" s="50">
        <v>3465</v>
      </c>
      <c r="W7" s="47"/>
      <c r="X7" s="47">
        <v>10229</v>
      </c>
      <c r="Y7" s="51"/>
      <c r="Z7" s="50">
        <v>183764</v>
      </c>
      <c r="AA7" s="47">
        <v>29554</v>
      </c>
      <c r="AB7" s="47">
        <v>450255</v>
      </c>
      <c r="AC7" s="51">
        <v>51457</v>
      </c>
      <c r="AD7" s="50"/>
      <c r="AE7" s="47"/>
      <c r="AF7" s="47"/>
      <c r="AG7" s="51"/>
      <c r="AH7" s="50"/>
      <c r="AI7" s="47"/>
      <c r="AJ7" s="47"/>
      <c r="AK7" s="51"/>
      <c r="AL7" s="50">
        <v>1732</v>
      </c>
      <c r="AM7" s="47">
        <v>91</v>
      </c>
      <c r="AN7" s="47">
        <v>1879</v>
      </c>
      <c r="AO7" s="51">
        <v>0</v>
      </c>
      <c r="AP7" s="50">
        <v>1244272</v>
      </c>
      <c r="AQ7" s="1474">
        <v>283807</v>
      </c>
      <c r="AR7" s="47">
        <v>2849142</v>
      </c>
      <c r="AS7" s="51">
        <v>600615</v>
      </c>
      <c r="AT7" s="50">
        <v>36046</v>
      </c>
      <c r="AU7" s="47">
        <v>1959</v>
      </c>
      <c r="AV7" s="47">
        <v>78247</v>
      </c>
      <c r="AW7" s="51">
        <v>6669</v>
      </c>
      <c r="AX7" s="1560"/>
      <c r="AY7" s="1561"/>
      <c r="AZ7" s="1561"/>
      <c r="BA7" s="1562"/>
      <c r="BB7" s="48"/>
      <c r="BC7" s="47"/>
      <c r="BD7" s="47">
        <v>0</v>
      </c>
      <c r="BE7" s="51">
        <v>0</v>
      </c>
      <c r="BF7" s="50">
        <v>386119</v>
      </c>
      <c r="BG7" s="47">
        <v>385429</v>
      </c>
      <c r="BH7" s="47">
        <v>1574346</v>
      </c>
      <c r="BI7" s="51">
        <v>563444</v>
      </c>
      <c r="BJ7" s="50"/>
      <c r="BK7" s="47"/>
      <c r="BL7" s="47"/>
      <c r="BM7" s="47"/>
      <c r="BN7" s="50">
        <v>-7166</v>
      </c>
      <c r="BO7" s="47">
        <v>8805</v>
      </c>
      <c r="BP7" s="47">
        <v>6365</v>
      </c>
      <c r="BQ7" s="51">
        <v>13989</v>
      </c>
      <c r="BR7" s="50"/>
      <c r="BS7" s="47"/>
      <c r="BT7" s="47"/>
      <c r="BU7" s="51"/>
      <c r="BV7" s="1563"/>
      <c r="BW7" s="47"/>
      <c r="BX7" s="47"/>
      <c r="BY7" s="51"/>
      <c r="BZ7" s="1556">
        <v>46481</v>
      </c>
      <c r="CA7" s="1557">
        <v>85194</v>
      </c>
      <c r="CB7" s="1557">
        <v>82703</v>
      </c>
      <c r="CC7" s="1558">
        <v>103009</v>
      </c>
      <c r="CD7" s="1564">
        <v>128286</v>
      </c>
      <c r="CE7" s="1565">
        <v>222117</v>
      </c>
      <c r="CF7" s="1565">
        <v>537489</v>
      </c>
      <c r="CG7" s="1566">
        <v>680461</v>
      </c>
      <c r="CH7" s="42"/>
      <c r="CI7" s="43">
        <v>0</v>
      </c>
      <c r="CJ7" s="43">
        <v>0</v>
      </c>
      <c r="CK7" s="44">
        <v>0</v>
      </c>
      <c r="CL7" s="50"/>
      <c r="CM7" s="47"/>
      <c r="CN7" s="47">
        <v>2</v>
      </c>
      <c r="CO7" s="51">
        <v>185</v>
      </c>
      <c r="CP7" s="19">
        <f t="shared" si="1"/>
        <v>3785274</v>
      </c>
      <c r="CQ7" s="20">
        <f t="shared" si="2"/>
        <v>4247880</v>
      </c>
      <c r="CR7" s="20">
        <f t="shared" si="3"/>
        <v>12474637</v>
      </c>
      <c r="CS7" s="645">
        <f t="shared" si="4"/>
        <v>10531434</v>
      </c>
      <c r="CT7" s="42">
        <v>16347</v>
      </c>
      <c r="CU7" s="43">
        <v>1842</v>
      </c>
      <c r="CV7" s="43">
        <v>47861</v>
      </c>
      <c r="CW7" s="44">
        <v>5816</v>
      </c>
      <c r="CX7" s="20">
        <f t="shared" si="5"/>
        <v>3801621</v>
      </c>
      <c r="CY7" s="20">
        <f t="shared" si="0"/>
        <v>4249722</v>
      </c>
      <c r="CZ7" s="20">
        <f t="shared" si="0"/>
        <v>12522498</v>
      </c>
      <c r="DA7" s="645">
        <f t="shared" si="0"/>
        <v>10537250</v>
      </c>
    </row>
    <row r="8" spans="1:105" s="1559" customFormat="1" ht="13.5">
      <c r="A8" s="703" t="s">
        <v>9</v>
      </c>
      <c r="B8" s="19">
        <v>188058</v>
      </c>
      <c r="C8" s="17">
        <v>210457</v>
      </c>
      <c r="D8" s="17">
        <v>862692</v>
      </c>
      <c r="E8" s="21">
        <v>870853</v>
      </c>
      <c r="F8" s="50">
        <v>49423</v>
      </c>
      <c r="G8" s="47">
        <v>11856</v>
      </c>
      <c r="H8" s="47">
        <v>78224</v>
      </c>
      <c r="I8" s="51">
        <v>17530</v>
      </c>
      <c r="J8" s="50">
        <v>84304</v>
      </c>
      <c r="K8" s="47">
        <v>84011</v>
      </c>
      <c r="L8" s="47">
        <v>282147</v>
      </c>
      <c r="M8" s="51">
        <v>206252</v>
      </c>
      <c r="N8" s="50">
        <v>273208</v>
      </c>
      <c r="O8" s="47">
        <v>764117</v>
      </c>
      <c r="P8" s="47">
        <v>1608870</v>
      </c>
      <c r="Q8" s="51">
        <v>2303227</v>
      </c>
      <c r="R8" s="50"/>
      <c r="S8" s="47"/>
      <c r="T8" s="47"/>
      <c r="U8" s="51"/>
      <c r="V8" s="50">
        <v>431</v>
      </c>
      <c r="W8" s="47">
        <v>384</v>
      </c>
      <c r="X8" s="47">
        <v>1572</v>
      </c>
      <c r="Y8" s="51">
        <v>386</v>
      </c>
      <c r="Z8" s="50">
        <v>2263029</v>
      </c>
      <c r="AA8" s="47">
        <v>2030928</v>
      </c>
      <c r="AB8" s="47">
        <v>8825777</v>
      </c>
      <c r="AC8" s="51">
        <v>8836744</v>
      </c>
      <c r="AD8" s="50">
        <v>8709</v>
      </c>
      <c r="AE8" s="47">
        <v>18673</v>
      </c>
      <c r="AF8" s="47">
        <v>52944</v>
      </c>
      <c r="AG8" s="51">
        <v>55902</v>
      </c>
      <c r="AH8" s="50">
        <v>500640</v>
      </c>
      <c r="AI8" s="47">
        <v>341427</v>
      </c>
      <c r="AJ8" s="47">
        <v>1641551</v>
      </c>
      <c r="AK8" s="51">
        <v>1146430</v>
      </c>
      <c r="AL8" s="50">
        <v>15451</v>
      </c>
      <c r="AM8" s="47">
        <v>20981</v>
      </c>
      <c r="AN8" s="47">
        <v>65128</v>
      </c>
      <c r="AO8" s="51">
        <v>91959</v>
      </c>
      <c r="AP8" s="50">
        <v>733546</v>
      </c>
      <c r="AQ8" s="1474">
        <v>203712</v>
      </c>
      <c r="AR8" s="47">
        <v>2436940</v>
      </c>
      <c r="AS8" s="51">
        <v>524646</v>
      </c>
      <c r="AT8" s="50">
        <v>1025640</v>
      </c>
      <c r="AU8" s="47">
        <v>138418</v>
      </c>
      <c r="AV8" s="47">
        <v>1460810</v>
      </c>
      <c r="AW8" s="51">
        <v>344696</v>
      </c>
      <c r="AX8" s="1560"/>
      <c r="AY8" s="1561"/>
      <c r="AZ8" s="1561"/>
      <c r="BA8" s="1562">
        <v>1472</v>
      </c>
      <c r="BB8" s="48">
        <v>17925</v>
      </c>
      <c r="BC8" s="47">
        <v>11690</v>
      </c>
      <c r="BD8" s="47">
        <v>310544</v>
      </c>
      <c r="BE8" s="51">
        <v>28885</v>
      </c>
      <c r="BF8" s="50">
        <v>313269</v>
      </c>
      <c r="BG8" s="47">
        <v>400523</v>
      </c>
      <c r="BH8" s="47">
        <v>1085002</v>
      </c>
      <c r="BI8" s="51">
        <v>985571</v>
      </c>
      <c r="BJ8" s="50">
        <v>116928</v>
      </c>
      <c r="BK8" s="47">
        <v>106165</v>
      </c>
      <c r="BL8" s="47">
        <v>432064</v>
      </c>
      <c r="BM8" s="47">
        <v>348343</v>
      </c>
      <c r="BN8" s="50">
        <v>148365</v>
      </c>
      <c r="BO8" s="47">
        <v>189378</v>
      </c>
      <c r="BP8" s="47">
        <v>448835</v>
      </c>
      <c r="BQ8" s="51">
        <v>358078</v>
      </c>
      <c r="BR8" s="50">
        <v>852</v>
      </c>
      <c r="BS8" s="47">
        <v>792</v>
      </c>
      <c r="BT8" s="47">
        <v>5675</v>
      </c>
      <c r="BU8" s="51">
        <v>7044</v>
      </c>
      <c r="BV8" s="1563"/>
      <c r="BW8" s="47"/>
      <c r="BX8" s="47"/>
      <c r="BY8" s="51"/>
      <c r="BZ8" s="1556">
        <v>168525</v>
      </c>
      <c r="CA8" s="1557">
        <v>115417</v>
      </c>
      <c r="CB8" s="1557">
        <v>874527</v>
      </c>
      <c r="CC8" s="1558">
        <v>564811</v>
      </c>
      <c r="CD8" s="1564">
        <v>211578</v>
      </c>
      <c r="CE8" s="1565">
        <v>148141</v>
      </c>
      <c r="CF8" s="1565">
        <v>593130</v>
      </c>
      <c r="CG8" s="1566">
        <v>534445</v>
      </c>
      <c r="CH8" s="42">
        <v>1001</v>
      </c>
      <c r="CI8" s="43">
        <v>5056</v>
      </c>
      <c r="CJ8" s="43">
        <v>5555</v>
      </c>
      <c r="CK8" s="44">
        <v>31053</v>
      </c>
      <c r="CL8" s="50">
        <v>3710</v>
      </c>
      <c r="CM8" s="47">
        <v>672</v>
      </c>
      <c r="CN8" s="47">
        <v>12836</v>
      </c>
      <c r="CO8" s="51">
        <v>3784</v>
      </c>
      <c r="CP8" s="19">
        <f t="shared" si="1"/>
        <v>6115376</v>
      </c>
      <c r="CQ8" s="20">
        <f t="shared" si="2"/>
        <v>4809781</v>
      </c>
      <c r="CR8" s="20">
        <f t="shared" si="3"/>
        <v>20827223</v>
      </c>
      <c r="CS8" s="645">
        <f t="shared" si="4"/>
        <v>17289128</v>
      </c>
      <c r="CT8" s="42">
        <v>95411</v>
      </c>
      <c r="CU8" s="43">
        <v>4564</v>
      </c>
      <c r="CV8" s="43">
        <v>104965</v>
      </c>
      <c r="CW8" s="44">
        <v>9661</v>
      </c>
      <c r="CX8" s="20">
        <f t="shared" si="5"/>
        <v>6210787</v>
      </c>
      <c r="CY8" s="20">
        <f t="shared" si="0"/>
        <v>4814345</v>
      </c>
      <c r="CZ8" s="20">
        <f t="shared" si="0"/>
        <v>20932188</v>
      </c>
      <c r="DA8" s="645">
        <f t="shared" si="0"/>
        <v>17298789</v>
      </c>
    </row>
    <row r="9" spans="1:105" s="1559" customFormat="1" ht="13.5">
      <c r="A9" s="703" t="s">
        <v>10</v>
      </c>
      <c r="B9" s="19"/>
      <c r="C9" s="17"/>
      <c r="D9" s="17"/>
      <c r="E9" s="21"/>
      <c r="F9" s="50"/>
      <c r="G9" s="47"/>
      <c r="H9" s="47"/>
      <c r="I9" s="51"/>
      <c r="J9" s="50"/>
      <c r="K9" s="47"/>
      <c r="L9" s="47"/>
      <c r="M9" s="51"/>
      <c r="N9" s="50">
        <v>478876</v>
      </c>
      <c r="O9" s="47">
        <v>421876</v>
      </c>
      <c r="P9" s="47">
        <v>1115560</v>
      </c>
      <c r="Q9" s="51">
        <v>775362</v>
      </c>
      <c r="R9" s="50"/>
      <c r="S9" s="47"/>
      <c r="T9" s="47"/>
      <c r="U9" s="51"/>
      <c r="V9" s="50"/>
      <c r="W9" s="47"/>
      <c r="X9" s="47"/>
      <c r="Y9" s="51"/>
      <c r="Z9" s="50">
        <v>852730</v>
      </c>
      <c r="AA9" s="47"/>
      <c r="AB9" s="47">
        <v>928394</v>
      </c>
      <c r="AC9" s="51"/>
      <c r="AD9" s="50"/>
      <c r="AE9" s="47"/>
      <c r="AF9" s="47"/>
      <c r="AG9" s="51"/>
      <c r="AH9" s="50"/>
      <c r="AI9" s="47"/>
      <c r="AJ9" s="47"/>
      <c r="AK9" s="51"/>
      <c r="AL9" s="50"/>
      <c r="AM9" s="47"/>
      <c r="AN9" s="47"/>
      <c r="AO9" s="51"/>
      <c r="AP9" s="50">
        <v>25693</v>
      </c>
      <c r="AQ9" s="1474">
        <v>162238</v>
      </c>
      <c r="AR9" s="47">
        <v>147863</v>
      </c>
      <c r="AS9" s="51">
        <v>412784</v>
      </c>
      <c r="AT9" s="50"/>
      <c r="AU9" s="47"/>
      <c r="AV9" s="47"/>
      <c r="AW9" s="51"/>
      <c r="AX9" s="1560"/>
      <c r="AY9" s="1561"/>
      <c r="AZ9" s="1561"/>
      <c r="BA9" s="1562"/>
      <c r="BB9" s="48">
        <v>0</v>
      </c>
      <c r="BC9" s="47"/>
      <c r="BD9" s="47">
        <v>0</v>
      </c>
      <c r="BE9" s="51">
        <v>0</v>
      </c>
      <c r="BF9" s="50">
        <v>840139</v>
      </c>
      <c r="BG9" s="47">
        <v>361291</v>
      </c>
      <c r="BH9" s="47">
        <v>2602856</v>
      </c>
      <c r="BI9" s="51">
        <v>548748</v>
      </c>
      <c r="BJ9" s="50"/>
      <c r="BK9" s="47"/>
      <c r="BL9" s="47"/>
      <c r="BM9" s="51"/>
      <c r="BN9" s="50"/>
      <c r="BO9" s="47"/>
      <c r="BP9" s="47"/>
      <c r="BQ9" s="51"/>
      <c r="BR9" s="50"/>
      <c r="BS9" s="47"/>
      <c r="BT9" s="47"/>
      <c r="BU9" s="51"/>
      <c r="BV9" s="1563"/>
      <c r="BW9" s="47"/>
      <c r="BX9" s="47"/>
      <c r="BY9" s="51"/>
      <c r="BZ9" s="1556"/>
      <c r="CA9" s="1557"/>
      <c r="CB9" s="1557"/>
      <c r="CC9" s="1558"/>
      <c r="CD9" s="1564"/>
      <c r="CE9" s="1565"/>
      <c r="CF9" s="1565"/>
      <c r="CG9" s="1566"/>
      <c r="CH9" s="42"/>
      <c r="CI9" s="43">
        <v>0</v>
      </c>
      <c r="CJ9" s="43">
        <v>0</v>
      </c>
      <c r="CK9" s="44">
        <v>0</v>
      </c>
      <c r="CL9" s="50"/>
      <c r="CM9" s="47"/>
      <c r="CN9" s="47"/>
      <c r="CO9" s="51"/>
      <c r="CP9" s="19">
        <f t="shared" si="1"/>
        <v>2197438</v>
      </c>
      <c r="CQ9" s="20">
        <f t="shared" si="2"/>
        <v>945405</v>
      </c>
      <c r="CR9" s="20">
        <f t="shared" si="3"/>
        <v>4794673</v>
      </c>
      <c r="CS9" s="645">
        <f t="shared" si="4"/>
        <v>1736894</v>
      </c>
      <c r="CT9" s="42"/>
      <c r="CU9" s="43"/>
      <c r="CV9" s="43"/>
      <c r="CW9" s="44"/>
      <c r="CX9" s="20">
        <f t="shared" si="5"/>
        <v>2197438</v>
      </c>
      <c r="CY9" s="20">
        <f t="shared" si="0"/>
        <v>945405</v>
      </c>
      <c r="CZ9" s="20">
        <f t="shared" si="0"/>
        <v>4794673</v>
      </c>
      <c r="DA9" s="645">
        <f t="shared" si="0"/>
        <v>1736894</v>
      </c>
    </row>
    <row r="10" spans="1:105" s="1559" customFormat="1" ht="13.5">
      <c r="A10" s="703" t="s">
        <v>11</v>
      </c>
      <c r="B10" s="19">
        <v>398056</v>
      </c>
      <c r="C10" s="17">
        <v>377863</v>
      </c>
      <c r="D10" s="17">
        <v>917753</v>
      </c>
      <c r="E10" s="21">
        <v>1302400</v>
      </c>
      <c r="F10" s="50">
        <v>5297</v>
      </c>
      <c r="G10" s="47">
        <v>17532</v>
      </c>
      <c r="H10" s="47">
        <v>64631</v>
      </c>
      <c r="I10" s="51">
        <v>36159</v>
      </c>
      <c r="J10" s="50">
        <v>35788</v>
      </c>
      <c r="K10" s="47">
        <v>32843</v>
      </c>
      <c r="L10" s="47">
        <v>174288</v>
      </c>
      <c r="M10" s="51">
        <v>150683</v>
      </c>
      <c r="N10" s="50">
        <v>4475347</v>
      </c>
      <c r="O10" s="47">
        <v>5160391</v>
      </c>
      <c r="P10" s="47">
        <v>13167484</v>
      </c>
      <c r="Q10" s="51">
        <v>23105517</v>
      </c>
      <c r="R10" s="50">
        <v>14076</v>
      </c>
      <c r="S10" s="47">
        <v>18770</v>
      </c>
      <c r="T10" s="47">
        <v>62521</v>
      </c>
      <c r="U10" s="51">
        <v>62699</v>
      </c>
      <c r="V10" s="50">
        <v>1234</v>
      </c>
      <c r="W10" s="47">
        <v>5505</v>
      </c>
      <c r="X10" s="47">
        <v>11176</v>
      </c>
      <c r="Y10" s="51">
        <v>8166</v>
      </c>
      <c r="Z10" s="50">
        <v>1626721</v>
      </c>
      <c r="AA10" s="47">
        <v>2487087</v>
      </c>
      <c r="AB10" s="47">
        <v>9784305</v>
      </c>
      <c r="AC10" s="51">
        <v>9244239</v>
      </c>
      <c r="AD10" s="50">
        <v>10492</v>
      </c>
      <c r="AE10" s="47">
        <v>11407</v>
      </c>
      <c r="AF10" s="47">
        <v>61499</v>
      </c>
      <c r="AG10" s="51">
        <v>138377</v>
      </c>
      <c r="AH10" s="50">
        <v>23983</v>
      </c>
      <c r="AI10" s="47">
        <v>28389</v>
      </c>
      <c r="AJ10" s="47">
        <v>104202</v>
      </c>
      <c r="AK10" s="51">
        <v>711877</v>
      </c>
      <c r="AL10" s="50">
        <v>235251</v>
      </c>
      <c r="AM10" s="47">
        <v>182849</v>
      </c>
      <c r="AN10" s="47">
        <v>628994</v>
      </c>
      <c r="AO10" s="51">
        <v>561224</v>
      </c>
      <c r="AP10" s="50">
        <v>6828914</v>
      </c>
      <c r="AQ10" s="1474">
        <v>7183652</v>
      </c>
      <c r="AR10" s="47">
        <v>22535247</v>
      </c>
      <c r="AS10" s="51">
        <v>21951552</v>
      </c>
      <c r="AT10" s="50">
        <v>6601770</v>
      </c>
      <c r="AU10" s="47">
        <v>494020</v>
      </c>
      <c r="AV10" s="47">
        <v>19602889</v>
      </c>
      <c r="AW10" s="51">
        <v>2573108</v>
      </c>
      <c r="AX10" s="1560">
        <v>51172</v>
      </c>
      <c r="AY10" s="1561">
        <v>52934</v>
      </c>
      <c r="AZ10" s="1561">
        <v>194698</v>
      </c>
      <c r="BA10" s="1562">
        <v>188698</v>
      </c>
      <c r="BB10" s="48">
        <v>357354</v>
      </c>
      <c r="BC10" s="47">
        <v>153294</v>
      </c>
      <c r="BD10" s="47">
        <v>1006458</v>
      </c>
      <c r="BE10" s="51">
        <v>2848314</v>
      </c>
      <c r="BF10" s="52">
        <v>1125372</v>
      </c>
      <c r="BG10" s="53">
        <v>1464744</v>
      </c>
      <c r="BH10" s="53">
        <v>6045247</v>
      </c>
      <c r="BI10" s="54">
        <v>6150882</v>
      </c>
      <c r="BJ10" s="50">
        <v>-70234</v>
      </c>
      <c r="BK10" s="47">
        <v>1168502</v>
      </c>
      <c r="BL10" s="47">
        <v>1141655</v>
      </c>
      <c r="BM10" s="51">
        <v>2679413</v>
      </c>
      <c r="BN10" s="50">
        <v>108472</v>
      </c>
      <c r="BO10" s="47">
        <v>125867</v>
      </c>
      <c r="BP10" s="47">
        <v>329332</v>
      </c>
      <c r="BQ10" s="51">
        <v>293945</v>
      </c>
      <c r="BR10" s="50">
        <v>128642</v>
      </c>
      <c r="BS10" s="47">
        <v>273015</v>
      </c>
      <c r="BT10" s="47">
        <v>3015788</v>
      </c>
      <c r="BU10" s="51">
        <v>1237495</v>
      </c>
      <c r="BV10" s="1563"/>
      <c r="BW10" s="47"/>
      <c r="BX10" s="47"/>
      <c r="BY10" s="51"/>
      <c r="BZ10" s="1556">
        <v>888901</v>
      </c>
      <c r="CA10" s="1557">
        <v>1133129</v>
      </c>
      <c r="CB10" s="1557">
        <v>2316680</v>
      </c>
      <c r="CC10" s="1558">
        <v>3219714</v>
      </c>
      <c r="CD10" s="1564">
        <v>698509</v>
      </c>
      <c r="CE10" s="1565">
        <v>1190286</v>
      </c>
      <c r="CF10" s="1565">
        <v>3210605</v>
      </c>
      <c r="CG10" s="1566">
        <v>5179444</v>
      </c>
      <c r="CH10" s="42">
        <v>10203</v>
      </c>
      <c r="CI10" s="43">
        <v>5417</v>
      </c>
      <c r="CJ10" s="43">
        <v>12744</v>
      </c>
      <c r="CK10" s="44">
        <v>31512</v>
      </c>
      <c r="CL10" s="50">
        <v>30225</v>
      </c>
      <c r="CM10" s="47">
        <v>18651</v>
      </c>
      <c r="CN10" s="47">
        <v>136069</v>
      </c>
      <c r="CO10" s="51">
        <v>108521</v>
      </c>
      <c r="CP10" s="19">
        <f t="shared" si="1"/>
        <v>23238683</v>
      </c>
      <c r="CQ10" s="20">
        <f t="shared" si="2"/>
        <v>21444260</v>
      </c>
      <c r="CR10" s="20">
        <f t="shared" si="3"/>
        <v>83579306</v>
      </c>
      <c r="CS10" s="645">
        <f t="shared" si="4"/>
        <v>79074002</v>
      </c>
      <c r="CT10" s="50">
        <v>11382611</v>
      </c>
      <c r="CU10" s="47">
        <v>27909800</v>
      </c>
      <c r="CV10" s="47">
        <v>53633354</v>
      </c>
      <c r="CW10" s="51">
        <v>59008841</v>
      </c>
      <c r="CX10" s="20">
        <f t="shared" si="5"/>
        <v>34621294</v>
      </c>
      <c r="CY10" s="20">
        <f t="shared" si="0"/>
        <v>49354060</v>
      </c>
      <c r="CZ10" s="20">
        <f t="shared" si="0"/>
        <v>137212660</v>
      </c>
      <c r="DA10" s="645">
        <f t="shared" si="0"/>
        <v>138082843</v>
      </c>
    </row>
    <row r="11" spans="1:105" s="1559" customFormat="1" ht="14.25" thickBot="1">
      <c r="A11" s="703" t="s">
        <v>12</v>
      </c>
      <c r="B11" s="1389"/>
      <c r="C11" s="1624"/>
      <c r="D11" s="1624"/>
      <c r="E11" s="1625"/>
      <c r="F11" s="1393"/>
      <c r="G11" s="1628"/>
      <c r="H11" s="1628"/>
      <c r="I11" s="1629"/>
      <c r="J11" s="1393"/>
      <c r="K11" s="1628"/>
      <c r="L11" s="1628"/>
      <c r="M11" s="1629"/>
      <c r="N11" s="1393"/>
      <c r="O11" s="1628">
        <v>9020</v>
      </c>
      <c r="P11" s="1628"/>
      <c r="Q11" s="1629">
        <v>13043</v>
      </c>
      <c r="R11" s="1393"/>
      <c r="S11" s="1628"/>
      <c r="T11" s="1628"/>
      <c r="U11" s="1629"/>
      <c r="V11" s="1393"/>
      <c r="W11" s="1628"/>
      <c r="X11" s="1628"/>
      <c r="Y11" s="1629"/>
      <c r="Z11" s="1393"/>
      <c r="AA11" s="1628"/>
      <c r="AB11" s="1628"/>
      <c r="AC11" s="1629"/>
      <c r="AD11" s="1393"/>
      <c r="AE11" s="1628"/>
      <c r="AF11" s="1628"/>
      <c r="AG11" s="1629"/>
      <c r="AH11" s="1393"/>
      <c r="AI11" s="1628"/>
      <c r="AJ11" s="1628"/>
      <c r="AK11" s="1629"/>
      <c r="AL11" s="1393"/>
      <c r="AM11" s="1628"/>
      <c r="AN11" s="1628"/>
      <c r="AO11" s="1629"/>
      <c r="AP11" s="1393"/>
      <c r="AQ11" s="1567"/>
      <c r="AR11" s="1628"/>
      <c r="AS11" s="1629"/>
      <c r="AT11" s="1393"/>
      <c r="AU11" s="1628"/>
      <c r="AV11" s="1628"/>
      <c r="AW11" s="1629"/>
      <c r="AX11" s="1630"/>
      <c r="AY11" s="1631"/>
      <c r="AZ11" s="1631"/>
      <c r="BA11" s="1632"/>
      <c r="BB11" s="1413"/>
      <c r="BC11" s="1628"/>
      <c r="BD11" s="1628"/>
      <c r="BE11" s="1629"/>
      <c r="BF11" s="1399"/>
      <c r="BG11" s="1394"/>
      <c r="BH11" s="1394"/>
      <c r="BI11" s="1395"/>
      <c r="BJ11" s="1393"/>
      <c r="BK11" s="1628"/>
      <c r="BL11" s="1628"/>
      <c r="BM11" s="1629"/>
      <c r="BN11" s="1393"/>
      <c r="BO11" s="1628"/>
      <c r="BP11" s="1628"/>
      <c r="BQ11" s="1629"/>
      <c r="BR11" s="1393"/>
      <c r="BS11" s="1628"/>
      <c r="BT11" s="1628"/>
      <c r="BU11" s="1629"/>
      <c r="BV11" s="1633"/>
      <c r="BW11" s="1628"/>
      <c r="BX11" s="1628"/>
      <c r="BY11" s="1629"/>
      <c r="BZ11" s="1634"/>
      <c r="CA11" s="1635"/>
      <c r="CB11" s="1635"/>
      <c r="CC11" s="1636"/>
      <c r="CD11" s="1637"/>
      <c r="CE11" s="1638"/>
      <c r="CF11" s="1638"/>
      <c r="CG11" s="1639"/>
      <c r="CH11" s="1640"/>
      <c r="CI11" s="1641">
        <v>0</v>
      </c>
      <c r="CJ11" s="1641"/>
      <c r="CK11" s="1642"/>
      <c r="CL11" s="1393"/>
      <c r="CM11" s="1628"/>
      <c r="CN11" s="1628"/>
      <c r="CO11" s="1629"/>
      <c r="CP11" s="1389">
        <f t="shared" si="1"/>
        <v>0</v>
      </c>
      <c r="CQ11" s="1411">
        <f t="shared" si="2"/>
        <v>9020</v>
      </c>
      <c r="CR11" s="1411">
        <f t="shared" si="3"/>
        <v>0</v>
      </c>
      <c r="CS11" s="1392">
        <f t="shared" si="4"/>
        <v>13043</v>
      </c>
      <c r="CT11" s="1393"/>
      <c r="CU11" s="1628"/>
      <c r="CV11" s="1628"/>
      <c r="CW11" s="1629"/>
      <c r="CX11" s="1411">
        <f t="shared" si="5"/>
        <v>0</v>
      </c>
      <c r="CY11" s="1411">
        <f t="shared" si="0"/>
        <v>9020</v>
      </c>
      <c r="CZ11" s="1411">
        <f t="shared" si="0"/>
        <v>0</v>
      </c>
      <c r="DA11" s="1392">
        <f t="shared" si="0"/>
        <v>13043</v>
      </c>
    </row>
    <row r="12" spans="1:105" s="861" customFormat="1" ht="15" thickBot="1">
      <c r="A12" s="1576" t="s">
        <v>13</v>
      </c>
      <c r="B12" s="1369">
        <f>SUM(B5:B11)</f>
        <v>1027361</v>
      </c>
      <c r="C12" s="1371">
        <f aca="true" t="shared" si="6" ref="C12:BN12">SUM(C5:C11)</f>
        <v>912998</v>
      </c>
      <c r="D12" s="1371">
        <f t="shared" si="6"/>
        <v>3046743</v>
      </c>
      <c r="E12" s="1372">
        <f t="shared" si="6"/>
        <v>2862143</v>
      </c>
      <c r="F12" s="1373">
        <f t="shared" si="6"/>
        <v>54720</v>
      </c>
      <c r="G12" s="1371">
        <f t="shared" si="6"/>
        <v>29698</v>
      </c>
      <c r="H12" s="1371">
        <f t="shared" si="6"/>
        <v>142855</v>
      </c>
      <c r="I12" s="1372">
        <f t="shared" si="6"/>
        <v>54549</v>
      </c>
      <c r="J12" s="1373">
        <f t="shared" si="6"/>
        <v>120226</v>
      </c>
      <c r="K12" s="1371">
        <f t="shared" si="6"/>
        <v>117522</v>
      </c>
      <c r="L12" s="1371">
        <f t="shared" si="6"/>
        <v>458631</v>
      </c>
      <c r="M12" s="1372">
        <f t="shared" si="6"/>
        <v>361162</v>
      </c>
      <c r="N12" s="1373">
        <f t="shared" si="6"/>
        <v>11546550</v>
      </c>
      <c r="O12" s="1371">
        <f t="shared" si="6"/>
        <v>13346380</v>
      </c>
      <c r="P12" s="1371">
        <f t="shared" si="6"/>
        <v>35313582</v>
      </c>
      <c r="Q12" s="1372">
        <f t="shared" si="6"/>
        <v>38128462</v>
      </c>
      <c r="R12" s="1373">
        <f t="shared" si="6"/>
        <v>25244</v>
      </c>
      <c r="S12" s="1371">
        <f t="shared" si="6"/>
        <v>18770</v>
      </c>
      <c r="T12" s="1371">
        <f t="shared" si="6"/>
        <v>84283</v>
      </c>
      <c r="U12" s="1372">
        <f t="shared" si="6"/>
        <v>62699</v>
      </c>
      <c r="V12" s="1373">
        <f t="shared" si="6"/>
        <v>600233</v>
      </c>
      <c r="W12" s="1371">
        <f t="shared" si="6"/>
        <v>68510</v>
      </c>
      <c r="X12" s="1371">
        <f t="shared" si="6"/>
        <v>2629979</v>
      </c>
      <c r="Y12" s="1372">
        <f t="shared" si="6"/>
        <v>1395341</v>
      </c>
      <c r="Z12" s="1373">
        <f t="shared" si="6"/>
        <v>4926299</v>
      </c>
      <c r="AA12" s="1371">
        <f t="shared" si="6"/>
        <v>4548905</v>
      </c>
      <c r="AB12" s="1371">
        <f t="shared" si="6"/>
        <v>19995012</v>
      </c>
      <c r="AC12" s="1372">
        <f t="shared" si="6"/>
        <v>18136576</v>
      </c>
      <c r="AD12" s="1373">
        <f>SUM(AD5:AD11)</f>
        <v>21915</v>
      </c>
      <c r="AE12" s="1371">
        <f>SUM(AE5:AE11)</f>
        <v>31107</v>
      </c>
      <c r="AF12" s="1371">
        <f>SUM(AF5:AF11)</f>
        <v>115044</v>
      </c>
      <c r="AG12" s="1372">
        <f>SUM(AG5:AG11)</f>
        <v>194691</v>
      </c>
      <c r="AH12" s="1373">
        <f t="shared" si="6"/>
        <v>524777</v>
      </c>
      <c r="AI12" s="1371">
        <f t="shared" si="6"/>
        <v>369857</v>
      </c>
      <c r="AJ12" s="1371">
        <f t="shared" si="6"/>
        <v>1746126</v>
      </c>
      <c r="AK12" s="1372">
        <f t="shared" si="6"/>
        <v>1858348</v>
      </c>
      <c r="AL12" s="1373">
        <f t="shared" si="6"/>
        <v>263347</v>
      </c>
      <c r="AM12" s="1371">
        <f t="shared" si="6"/>
        <v>204595</v>
      </c>
      <c r="AN12" s="1371">
        <f t="shared" si="6"/>
        <v>724250</v>
      </c>
      <c r="AO12" s="1372">
        <f t="shared" si="6"/>
        <v>655118</v>
      </c>
      <c r="AP12" s="1373">
        <f t="shared" si="6"/>
        <v>16251464</v>
      </c>
      <c r="AQ12" s="1371">
        <f t="shared" si="6"/>
        <v>12439347</v>
      </c>
      <c r="AR12" s="1371">
        <f t="shared" si="6"/>
        <v>50405031</v>
      </c>
      <c r="AS12" s="1372">
        <f t="shared" si="6"/>
        <v>32170045</v>
      </c>
      <c r="AT12" s="1373">
        <f t="shared" si="6"/>
        <v>8106631</v>
      </c>
      <c r="AU12" s="1371">
        <f t="shared" si="6"/>
        <v>684460</v>
      </c>
      <c r="AV12" s="1371">
        <f t="shared" si="6"/>
        <v>22086962</v>
      </c>
      <c r="AW12" s="1372">
        <f t="shared" si="6"/>
        <v>3068312</v>
      </c>
      <c r="AX12" s="1373">
        <f t="shared" si="6"/>
        <v>58968</v>
      </c>
      <c r="AY12" s="1371">
        <f t="shared" si="6"/>
        <v>57568</v>
      </c>
      <c r="AZ12" s="1371">
        <f t="shared" si="6"/>
        <v>215776</v>
      </c>
      <c r="BA12" s="1626">
        <f t="shared" si="6"/>
        <v>207090</v>
      </c>
      <c r="BB12" s="1369">
        <f t="shared" si="6"/>
        <v>510619</v>
      </c>
      <c r="BC12" s="1371">
        <f t="shared" si="6"/>
        <v>359662</v>
      </c>
      <c r="BD12" s="1371">
        <f t="shared" si="6"/>
        <v>2124406</v>
      </c>
      <c r="BE12" s="1372">
        <f t="shared" si="6"/>
        <v>3753182</v>
      </c>
      <c r="BF12" s="1373">
        <f t="shared" si="6"/>
        <v>3001751</v>
      </c>
      <c r="BG12" s="1371">
        <f t="shared" si="6"/>
        <v>2678123</v>
      </c>
      <c r="BH12" s="1371">
        <f t="shared" si="6"/>
        <v>11944119</v>
      </c>
      <c r="BI12" s="1372">
        <f t="shared" si="6"/>
        <v>8341432</v>
      </c>
      <c r="BJ12" s="1373">
        <f t="shared" si="6"/>
        <v>1222200</v>
      </c>
      <c r="BK12" s="1371">
        <f t="shared" si="6"/>
        <v>1334894</v>
      </c>
      <c r="BL12" s="1371">
        <f t="shared" si="6"/>
        <v>4160176</v>
      </c>
      <c r="BM12" s="1372">
        <f t="shared" si="6"/>
        <v>3194113</v>
      </c>
      <c r="BN12" s="1373">
        <f t="shared" si="6"/>
        <v>291820</v>
      </c>
      <c r="BO12" s="1371">
        <f aca="true" t="shared" si="7" ref="BO12:CO12">SUM(BO5:BO11)</f>
        <v>339633</v>
      </c>
      <c r="BP12" s="1371">
        <f t="shared" si="7"/>
        <v>887009</v>
      </c>
      <c r="BQ12" s="1372">
        <f t="shared" si="7"/>
        <v>743110</v>
      </c>
      <c r="BR12" s="1373">
        <f t="shared" si="7"/>
        <v>129494</v>
      </c>
      <c r="BS12" s="1371">
        <f t="shared" si="7"/>
        <v>273807</v>
      </c>
      <c r="BT12" s="1371">
        <f t="shared" si="7"/>
        <v>3021463</v>
      </c>
      <c r="BU12" s="1372">
        <f t="shared" si="7"/>
        <v>1244687</v>
      </c>
      <c r="BV12" s="1373">
        <f t="shared" si="7"/>
        <v>0</v>
      </c>
      <c r="BW12" s="1371">
        <f t="shared" si="7"/>
        <v>0</v>
      </c>
      <c r="BX12" s="1371">
        <f t="shared" si="7"/>
        <v>0</v>
      </c>
      <c r="BY12" s="1372">
        <f t="shared" si="7"/>
        <v>0</v>
      </c>
      <c r="BZ12" s="1373">
        <f t="shared" si="7"/>
        <v>1339358</v>
      </c>
      <c r="CA12" s="1371">
        <f t="shared" si="7"/>
        <v>1611308</v>
      </c>
      <c r="CB12" s="1371">
        <f t="shared" si="7"/>
        <v>3851828</v>
      </c>
      <c r="CC12" s="1372">
        <f t="shared" si="7"/>
        <v>4530335</v>
      </c>
      <c r="CD12" s="1373">
        <f t="shared" si="7"/>
        <v>1038376</v>
      </c>
      <c r="CE12" s="1371">
        <f t="shared" si="7"/>
        <v>1560544</v>
      </c>
      <c r="CF12" s="1371">
        <f t="shared" si="7"/>
        <v>4341229</v>
      </c>
      <c r="CG12" s="1372">
        <f t="shared" si="7"/>
        <v>6394350</v>
      </c>
      <c r="CH12" s="1373">
        <f t="shared" si="7"/>
        <v>362254</v>
      </c>
      <c r="CI12" s="1371">
        <f t="shared" si="7"/>
        <v>136798</v>
      </c>
      <c r="CJ12" s="1371">
        <f t="shared" si="7"/>
        <v>666509</v>
      </c>
      <c r="CK12" s="1372">
        <f t="shared" si="7"/>
        <v>420351</v>
      </c>
      <c r="CL12" s="1373">
        <f t="shared" si="7"/>
        <v>36450</v>
      </c>
      <c r="CM12" s="1371">
        <f t="shared" si="7"/>
        <v>19386</v>
      </c>
      <c r="CN12" s="1371">
        <f t="shared" si="7"/>
        <v>155191</v>
      </c>
      <c r="CO12" s="1372">
        <f t="shared" si="7"/>
        <v>116236</v>
      </c>
      <c r="CP12" s="1369">
        <f t="shared" si="1"/>
        <v>50971353</v>
      </c>
      <c r="CQ12" s="1373">
        <f t="shared" si="2"/>
        <v>40815317</v>
      </c>
      <c r="CR12" s="1373">
        <f t="shared" si="3"/>
        <v>166106842</v>
      </c>
      <c r="CS12" s="1627">
        <f t="shared" si="4"/>
        <v>124333841</v>
      </c>
      <c r="CT12" s="1379">
        <f>SUM(CT5:CT11)</f>
        <v>12284090</v>
      </c>
      <c r="CU12" s="1379">
        <f>SUM(CU5:CU11)</f>
        <v>28448351</v>
      </c>
      <c r="CV12" s="1379">
        <f>SUM(CV5:CV11)</f>
        <v>56300688</v>
      </c>
      <c r="CW12" s="1380">
        <f>SUM(CW5:CW11)</f>
        <v>60542332</v>
      </c>
      <c r="CX12" s="1373">
        <f t="shared" si="5"/>
        <v>63255443</v>
      </c>
      <c r="CY12" s="1373">
        <f t="shared" si="0"/>
        <v>69263668</v>
      </c>
      <c r="CZ12" s="1373">
        <f t="shared" si="0"/>
        <v>222407530</v>
      </c>
      <c r="DA12" s="1627">
        <f t="shared" si="0"/>
        <v>184876173</v>
      </c>
    </row>
    <row r="13" spans="1:105" ht="15" thickBot="1">
      <c r="A13" s="690" t="s">
        <v>14</v>
      </c>
      <c r="B13" s="1643"/>
      <c r="C13" s="1644"/>
      <c r="D13" s="1644"/>
      <c r="E13" s="1645"/>
      <c r="F13" s="1646"/>
      <c r="G13" s="1647"/>
      <c r="H13" s="1647"/>
      <c r="I13" s="1648"/>
      <c r="J13" s="1646"/>
      <c r="K13" s="1647"/>
      <c r="L13" s="1647"/>
      <c r="M13" s="1648"/>
      <c r="N13" s="1646"/>
      <c r="O13" s="1647"/>
      <c r="P13" s="1647"/>
      <c r="Q13" s="1648"/>
      <c r="R13" s="1649"/>
      <c r="S13" s="1650"/>
      <c r="T13" s="1650"/>
      <c r="U13" s="1651"/>
      <c r="V13" s="1646"/>
      <c r="W13" s="1647"/>
      <c r="X13" s="1647"/>
      <c r="Y13" s="1648"/>
      <c r="Z13" s="1646"/>
      <c r="AA13" s="1647"/>
      <c r="AB13" s="1647"/>
      <c r="AC13" s="1648"/>
      <c r="AD13" s="1646"/>
      <c r="AE13" s="1647"/>
      <c r="AF13" s="1647"/>
      <c r="AG13" s="1648"/>
      <c r="AH13" s="1646"/>
      <c r="AI13" s="1647"/>
      <c r="AJ13" s="1647"/>
      <c r="AK13" s="1648"/>
      <c r="AL13" s="1646"/>
      <c r="AM13" s="1647">
        <v>0</v>
      </c>
      <c r="AN13" s="1647"/>
      <c r="AO13" s="1648"/>
      <c r="AP13" s="1646"/>
      <c r="AQ13" s="468"/>
      <c r="AR13" s="1647"/>
      <c r="AS13" s="1648"/>
      <c r="AT13" s="1646"/>
      <c r="AU13" s="1647"/>
      <c r="AV13" s="1647"/>
      <c r="AW13" s="1648"/>
      <c r="AX13" s="1646"/>
      <c r="AY13" s="1647"/>
      <c r="AZ13" s="1647"/>
      <c r="BA13" s="1652"/>
      <c r="BB13" s="1653"/>
      <c r="BC13" s="1654"/>
      <c r="BD13" s="1654"/>
      <c r="BE13" s="1655"/>
      <c r="BF13" s="1646"/>
      <c r="BG13" s="1647"/>
      <c r="BH13" s="1647"/>
      <c r="BI13" s="1648"/>
      <c r="BJ13" s="1646"/>
      <c r="BK13" s="1647"/>
      <c r="BL13" s="1647"/>
      <c r="BM13" s="1648"/>
      <c r="BN13" s="1646"/>
      <c r="BO13" s="1647"/>
      <c r="BP13" s="1647"/>
      <c r="BQ13" s="1648"/>
      <c r="BR13" s="1646"/>
      <c r="BS13" s="1647"/>
      <c r="BT13" s="1647"/>
      <c r="BU13" s="1648"/>
      <c r="BV13" s="1656"/>
      <c r="BW13" s="1650"/>
      <c r="BX13" s="1650"/>
      <c r="BY13" s="1651"/>
      <c r="BZ13" s="1657"/>
      <c r="CA13" s="1658"/>
      <c r="CB13" s="1658"/>
      <c r="CC13" s="1659"/>
      <c r="CD13" s="1660"/>
      <c r="CE13" s="1661"/>
      <c r="CF13" s="1661"/>
      <c r="CG13" s="1662"/>
      <c r="CH13" s="1663"/>
      <c r="CI13" s="1664">
        <v>0</v>
      </c>
      <c r="CJ13" s="1664">
        <v>0</v>
      </c>
      <c r="CK13" s="1665"/>
      <c r="CL13" s="1646"/>
      <c r="CM13" s="1647"/>
      <c r="CN13" s="1647"/>
      <c r="CO13" s="1648"/>
      <c r="CP13" s="1643">
        <f t="shared" si="1"/>
        <v>0</v>
      </c>
      <c r="CQ13" s="1666">
        <f t="shared" si="2"/>
        <v>0</v>
      </c>
      <c r="CR13" s="1666">
        <f t="shared" si="3"/>
        <v>0</v>
      </c>
      <c r="CS13" s="1667">
        <f t="shared" si="4"/>
        <v>0</v>
      </c>
      <c r="CT13" s="1663"/>
      <c r="CU13" s="1664"/>
      <c r="CV13" s="1664"/>
      <c r="CW13" s="1665"/>
      <c r="CX13" s="1666">
        <f t="shared" si="5"/>
        <v>0</v>
      </c>
      <c r="CY13" s="1666">
        <f t="shared" si="0"/>
        <v>0</v>
      </c>
      <c r="CZ13" s="1666">
        <f t="shared" si="0"/>
        <v>0</v>
      </c>
      <c r="DA13" s="1667">
        <f t="shared" si="0"/>
        <v>0</v>
      </c>
    </row>
    <row r="14" spans="1:105" s="861" customFormat="1" ht="15" thickBot="1">
      <c r="A14" s="1576" t="s">
        <v>15</v>
      </c>
      <c r="B14" s="1369">
        <f>B12+B13</f>
        <v>1027361</v>
      </c>
      <c r="C14" s="1371">
        <f aca="true" t="shared" si="8" ref="C14:BN14">C12+C13</f>
        <v>912998</v>
      </c>
      <c r="D14" s="1371">
        <f t="shared" si="8"/>
        <v>3046743</v>
      </c>
      <c r="E14" s="1372">
        <f t="shared" si="8"/>
        <v>2862143</v>
      </c>
      <c r="F14" s="1373">
        <f t="shared" si="8"/>
        <v>54720</v>
      </c>
      <c r="G14" s="1371">
        <f t="shared" si="8"/>
        <v>29698</v>
      </c>
      <c r="H14" s="1371">
        <f t="shared" si="8"/>
        <v>142855</v>
      </c>
      <c r="I14" s="1372">
        <f t="shared" si="8"/>
        <v>54549</v>
      </c>
      <c r="J14" s="1373">
        <f t="shared" si="8"/>
        <v>120226</v>
      </c>
      <c r="K14" s="1371">
        <f t="shared" si="8"/>
        <v>117522</v>
      </c>
      <c r="L14" s="1371">
        <f t="shared" si="8"/>
        <v>458631</v>
      </c>
      <c r="M14" s="1372">
        <f t="shared" si="8"/>
        <v>361162</v>
      </c>
      <c r="N14" s="1373">
        <f t="shared" si="8"/>
        <v>11546550</v>
      </c>
      <c r="O14" s="1371">
        <f t="shared" si="8"/>
        <v>13346380</v>
      </c>
      <c r="P14" s="1371">
        <f t="shared" si="8"/>
        <v>35313582</v>
      </c>
      <c r="Q14" s="1372">
        <f t="shared" si="8"/>
        <v>38128462</v>
      </c>
      <c r="R14" s="1373">
        <f t="shared" si="8"/>
        <v>25244</v>
      </c>
      <c r="S14" s="1371">
        <f t="shared" si="8"/>
        <v>18770</v>
      </c>
      <c r="T14" s="1371">
        <f t="shared" si="8"/>
        <v>84283</v>
      </c>
      <c r="U14" s="1372">
        <f t="shared" si="8"/>
        <v>62699</v>
      </c>
      <c r="V14" s="1373">
        <f t="shared" si="8"/>
        <v>600233</v>
      </c>
      <c r="W14" s="1371">
        <f t="shared" si="8"/>
        <v>68510</v>
      </c>
      <c r="X14" s="1371">
        <f t="shared" si="8"/>
        <v>2629979</v>
      </c>
      <c r="Y14" s="1372">
        <f t="shared" si="8"/>
        <v>1395341</v>
      </c>
      <c r="Z14" s="1373">
        <f t="shared" si="8"/>
        <v>4926299</v>
      </c>
      <c r="AA14" s="1371">
        <f t="shared" si="8"/>
        <v>4548905</v>
      </c>
      <c r="AB14" s="1371">
        <f t="shared" si="8"/>
        <v>19995012</v>
      </c>
      <c r="AC14" s="1372">
        <f t="shared" si="8"/>
        <v>18136576</v>
      </c>
      <c r="AD14" s="1373">
        <f>AD12+AD13</f>
        <v>21915</v>
      </c>
      <c r="AE14" s="1371">
        <f>AE12+AE13</f>
        <v>31107</v>
      </c>
      <c r="AF14" s="1371">
        <f>AF12+AF13</f>
        <v>115044</v>
      </c>
      <c r="AG14" s="1372">
        <f>AG12+AG13</f>
        <v>194691</v>
      </c>
      <c r="AH14" s="1373">
        <f t="shared" si="8"/>
        <v>524777</v>
      </c>
      <c r="AI14" s="1371">
        <f t="shared" si="8"/>
        <v>369857</v>
      </c>
      <c r="AJ14" s="1371">
        <f t="shared" si="8"/>
        <v>1746126</v>
      </c>
      <c r="AK14" s="1372">
        <f t="shared" si="8"/>
        <v>1858348</v>
      </c>
      <c r="AL14" s="1373">
        <f t="shared" si="8"/>
        <v>263347</v>
      </c>
      <c r="AM14" s="1371">
        <f t="shared" si="8"/>
        <v>204595</v>
      </c>
      <c r="AN14" s="1371">
        <f t="shared" si="8"/>
        <v>724250</v>
      </c>
      <c r="AO14" s="1372">
        <f t="shared" si="8"/>
        <v>655118</v>
      </c>
      <c r="AP14" s="1373">
        <f t="shared" si="8"/>
        <v>16251464</v>
      </c>
      <c r="AQ14" s="1371">
        <f t="shared" si="8"/>
        <v>12439347</v>
      </c>
      <c r="AR14" s="1371">
        <f t="shared" si="8"/>
        <v>50405031</v>
      </c>
      <c r="AS14" s="1372">
        <f t="shared" si="8"/>
        <v>32170045</v>
      </c>
      <c r="AT14" s="1373">
        <f t="shared" si="8"/>
        <v>8106631</v>
      </c>
      <c r="AU14" s="1371">
        <f t="shared" si="8"/>
        <v>684460</v>
      </c>
      <c r="AV14" s="1371">
        <f t="shared" si="8"/>
        <v>22086962</v>
      </c>
      <c r="AW14" s="1372">
        <f t="shared" si="8"/>
        <v>3068312</v>
      </c>
      <c r="AX14" s="1373">
        <f t="shared" si="8"/>
        <v>58968</v>
      </c>
      <c r="AY14" s="1371">
        <f t="shared" si="8"/>
        <v>57568</v>
      </c>
      <c r="AZ14" s="1371">
        <f t="shared" si="8"/>
        <v>215776</v>
      </c>
      <c r="BA14" s="1626">
        <f t="shared" si="8"/>
        <v>207090</v>
      </c>
      <c r="BB14" s="1369">
        <f t="shared" si="8"/>
        <v>510619</v>
      </c>
      <c r="BC14" s="1371">
        <f t="shared" si="8"/>
        <v>359662</v>
      </c>
      <c r="BD14" s="1371">
        <f t="shared" si="8"/>
        <v>2124406</v>
      </c>
      <c r="BE14" s="1372">
        <f t="shared" si="8"/>
        <v>3753182</v>
      </c>
      <c r="BF14" s="1373">
        <f t="shared" si="8"/>
        <v>3001751</v>
      </c>
      <c r="BG14" s="1371">
        <f t="shared" si="8"/>
        <v>2678123</v>
      </c>
      <c r="BH14" s="1371">
        <f t="shared" si="8"/>
        <v>11944119</v>
      </c>
      <c r="BI14" s="1372">
        <f t="shared" si="8"/>
        <v>8341432</v>
      </c>
      <c r="BJ14" s="1373">
        <f t="shared" si="8"/>
        <v>1222200</v>
      </c>
      <c r="BK14" s="1371">
        <f t="shared" si="8"/>
        <v>1334894</v>
      </c>
      <c r="BL14" s="1371">
        <f t="shared" si="8"/>
        <v>4160176</v>
      </c>
      <c r="BM14" s="1372">
        <f t="shared" si="8"/>
        <v>3194113</v>
      </c>
      <c r="BN14" s="1373">
        <f t="shared" si="8"/>
        <v>291820</v>
      </c>
      <c r="BO14" s="1371">
        <f aca="true" t="shared" si="9" ref="BO14:CO14">BO12+BO13</f>
        <v>339633</v>
      </c>
      <c r="BP14" s="1371">
        <f t="shared" si="9"/>
        <v>887009</v>
      </c>
      <c r="BQ14" s="1372">
        <f t="shared" si="9"/>
        <v>743110</v>
      </c>
      <c r="BR14" s="1373">
        <f t="shared" si="9"/>
        <v>129494</v>
      </c>
      <c r="BS14" s="1371">
        <f t="shared" si="9"/>
        <v>273807</v>
      </c>
      <c r="BT14" s="1371">
        <f t="shared" si="9"/>
        <v>3021463</v>
      </c>
      <c r="BU14" s="1372">
        <f t="shared" si="9"/>
        <v>1244687</v>
      </c>
      <c r="BV14" s="1373">
        <f t="shared" si="9"/>
        <v>0</v>
      </c>
      <c r="BW14" s="1371">
        <f t="shared" si="9"/>
        <v>0</v>
      </c>
      <c r="BX14" s="1371">
        <f t="shared" si="9"/>
        <v>0</v>
      </c>
      <c r="BY14" s="1372">
        <f t="shared" si="9"/>
        <v>0</v>
      </c>
      <c r="BZ14" s="1373">
        <f t="shared" si="9"/>
        <v>1339358</v>
      </c>
      <c r="CA14" s="1371">
        <f t="shared" si="9"/>
        <v>1611308</v>
      </c>
      <c r="CB14" s="1371">
        <f t="shared" si="9"/>
        <v>3851828</v>
      </c>
      <c r="CC14" s="1372">
        <f t="shared" si="9"/>
        <v>4530335</v>
      </c>
      <c r="CD14" s="1373">
        <f t="shared" si="9"/>
        <v>1038376</v>
      </c>
      <c r="CE14" s="1371">
        <f t="shared" si="9"/>
        <v>1560544</v>
      </c>
      <c r="CF14" s="1371">
        <f t="shared" si="9"/>
        <v>4341229</v>
      </c>
      <c r="CG14" s="1372">
        <f t="shared" si="9"/>
        <v>6394350</v>
      </c>
      <c r="CH14" s="1373">
        <f t="shared" si="9"/>
        <v>362254</v>
      </c>
      <c r="CI14" s="1371">
        <f t="shared" si="9"/>
        <v>136798</v>
      </c>
      <c r="CJ14" s="1371">
        <f t="shared" si="9"/>
        <v>666509</v>
      </c>
      <c r="CK14" s="1372">
        <f t="shared" si="9"/>
        <v>420351</v>
      </c>
      <c r="CL14" s="1373">
        <f t="shared" si="9"/>
        <v>36450</v>
      </c>
      <c r="CM14" s="1371">
        <f t="shared" si="9"/>
        <v>19386</v>
      </c>
      <c r="CN14" s="1371">
        <f t="shared" si="9"/>
        <v>155191</v>
      </c>
      <c r="CO14" s="1372">
        <f t="shared" si="9"/>
        <v>116236</v>
      </c>
      <c r="CP14" s="1369">
        <f t="shared" si="1"/>
        <v>50971353</v>
      </c>
      <c r="CQ14" s="1373">
        <f t="shared" si="2"/>
        <v>40815317</v>
      </c>
      <c r="CR14" s="1373">
        <f t="shared" si="3"/>
        <v>166106842</v>
      </c>
      <c r="CS14" s="1627">
        <f t="shared" si="4"/>
        <v>124333841</v>
      </c>
      <c r="CT14" s="1379">
        <f>CT12+CT13</f>
        <v>12284090</v>
      </c>
      <c r="CU14" s="1379">
        <f>CU12+CU13</f>
        <v>28448351</v>
      </c>
      <c r="CV14" s="1379">
        <f>CV12+CV13</f>
        <v>56300688</v>
      </c>
      <c r="CW14" s="1380">
        <f>CW12+CW13</f>
        <v>60542332</v>
      </c>
      <c r="CX14" s="1373">
        <f t="shared" si="5"/>
        <v>63255443</v>
      </c>
      <c r="CY14" s="1373">
        <f t="shared" si="0"/>
        <v>69263668</v>
      </c>
      <c r="CZ14" s="1373">
        <f t="shared" si="0"/>
        <v>222407530</v>
      </c>
      <c r="DA14" s="1627">
        <f t="shared" si="0"/>
        <v>184876173</v>
      </c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9" sqref="A9"/>
    </sheetView>
  </sheetViews>
  <sheetFormatPr defaultColWidth="9.140625" defaultRowHeight="15"/>
  <cols>
    <col min="1" max="1" width="84.00390625" style="100" customWidth="1"/>
    <col min="2" max="3" width="11.421875" style="100" bestFit="1" customWidth="1"/>
    <col min="4" max="5" width="12.421875" style="100" bestFit="1" customWidth="1"/>
    <col min="6" max="7" width="11.421875" style="100" bestFit="1" customWidth="1"/>
    <col min="8" max="9" width="12.421875" style="100" bestFit="1" customWidth="1"/>
    <col min="10" max="11" width="11.421875" style="100" bestFit="1" customWidth="1"/>
    <col min="12" max="13" width="12.421875" style="100" bestFit="1" customWidth="1"/>
    <col min="14" max="15" width="11.421875" style="100" bestFit="1" customWidth="1"/>
    <col min="16" max="17" width="12.421875" style="100" bestFit="1" customWidth="1"/>
    <col min="18" max="19" width="11.421875" style="100" bestFit="1" customWidth="1"/>
    <col min="20" max="21" width="12.421875" style="100" bestFit="1" customWidth="1"/>
    <col min="22" max="23" width="11.421875" style="100" bestFit="1" customWidth="1"/>
    <col min="24" max="25" width="12.421875" style="100" bestFit="1" customWidth="1"/>
    <col min="26" max="27" width="11.421875" style="100" bestFit="1" customWidth="1"/>
    <col min="28" max="29" width="12.421875" style="100" bestFit="1" customWidth="1"/>
    <col min="30" max="31" width="11.421875" style="100" bestFit="1" customWidth="1"/>
    <col min="32" max="33" width="12.421875" style="100" bestFit="1" customWidth="1"/>
    <col min="34" max="35" width="11.421875" style="100" bestFit="1" customWidth="1"/>
    <col min="36" max="37" width="12.421875" style="100" bestFit="1" customWidth="1"/>
    <col min="38" max="39" width="11.421875" style="100" bestFit="1" customWidth="1"/>
    <col min="40" max="41" width="12.421875" style="100" bestFit="1" customWidth="1"/>
    <col min="42" max="43" width="11.421875" style="100" bestFit="1" customWidth="1"/>
    <col min="44" max="45" width="12.421875" style="100" bestFit="1" customWidth="1"/>
    <col min="46" max="47" width="11.421875" style="100" bestFit="1" customWidth="1"/>
    <col min="48" max="49" width="12.421875" style="100" bestFit="1" customWidth="1"/>
    <col min="50" max="51" width="11.421875" style="100" bestFit="1" customWidth="1"/>
    <col min="52" max="53" width="12.421875" style="100" bestFit="1" customWidth="1"/>
    <col min="54" max="55" width="11.421875" style="100" bestFit="1" customWidth="1"/>
    <col min="56" max="57" width="12.421875" style="100" bestFit="1" customWidth="1"/>
    <col min="58" max="59" width="11.421875" style="100" bestFit="1" customWidth="1"/>
    <col min="60" max="61" width="12.421875" style="100" bestFit="1" customWidth="1"/>
    <col min="62" max="63" width="11.421875" style="100" bestFit="1" customWidth="1"/>
    <col min="64" max="65" width="12.421875" style="100" bestFit="1" customWidth="1"/>
    <col min="66" max="67" width="11.421875" style="100" bestFit="1" customWidth="1"/>
    <col min="68" max="69" width="12.421875" style="100" bestFit="1" customWidth="1"/>
    <col min="70" max="71" width="11.421875" style="100" bestFit="1" customWidth="1"/>
    <col min="72" max="73" width="12.421875" style="100" bestFit="1" customWidth="1"/>
    <col min="74" max="75" width="11.421875" style="100" bestFit="1" customWidth="1"/>
    <col min="76" max="77" width="12.421875" style="100" bestFit="1" customWidth="1"/>
    <col min="78" max="79" width="11.421875" style="100" bestFit="1" customWidth="1"/>
    <col min="80" max="81" width="12.421875" style="100" bestFit="1" customWidth="1"/>
    <col min="82" max="83" width="11.421875" style="100" bestFit="1" customWidth="1"/>
    <col min="84" max="85" width="12.421875" style="100" bestFit="1" customWidth="1"/>
    <col min="86" max="87" width="11.421875" style="100" bestFit="1" customWidth="1"/>
    <col min="88" max="89" width="12.421875" style="100" bestFit="1" customWidth="1"/>
    <col min="90" max="91" width="11.421875" style="100" bestFit="1" customWidth="1"/>
    <col min="92" max="93" width="12.421875" style="100" bestFit="1" customWidth="1"/>
    <col min="94" max="95" width="11.421875" style="100" bestFit="1" customWidth="1"/>
    <col min="96" max="97" width="12.421875" style="100" bestFit="1" customWidth="1"/>
    <col min="98" max="99" width="11.421875" style="100" bestFit="1" customWidth="1"/>
    <col min="100" max="101" width="12.421875" style="100" bestFit="1" customWidth="1"/>
    <col min="102" max="103" width="11.421875" style="100" bestFit="1" customWidth="1"/>
    <col min="104" max="105" width="12.421875" style="100" bestFit="1" customWidth="1"/>
    <col min="106" max="16384" width="9.140625" style="100" customWidth="1"/>
  </cols>
  <sheetData>
    <row r="1" spans="1:103" ht="17.25">
      <c r="A1" s="1840" t="s">
        <v>464</v>
      </c>
      <c r="B1" s="1840"/>
      <c r="C1" s="1840"/>
      <c r="D1" s="1840"/>
      <c r="E1" s="1840"/>
      <c r="F1" s="1840"/>
      <c r="G1" s="1840"/>
      <c r="H1" s="1840"/>
      <c r="I1" s="1840"/>
      <c r="J1" s="1840"/>
      <c r="K1" s="1840"/>
      <c r="L1" s="1840"/>
      <c r="M1" s="1840"/>
      <c r="N1" s="1840"/>
      <c r="O1" s="1840"/>
      <c r="P1" s="1840"/>
      <c r="Q1" s="1840"/>
      <c r="R1" s="1840"/>
      <c r="S1" s="1840"/>
      <c r="T1" s="1840"/>
      <c r="U1" s="1840"/>
      <c r="V1" s="1840"/>
      <c r="W1" s="1840"/>
      <c r="X1" s="1840"/>
      <c r="Y1" s="1840"/>
      <c r="Z1" s="1840"/>
      <c r="AA1" s="1840"/>
      <c r="AB1" s="1840"/>
      <c r="AC1" s="1840"/>
      <c r="AD1" s="1840"/>
      <c r="AE1" s="1840"/>
      <c r="AF1" s="1840"/>
      <c r="AG1" s="1840"/>
      <c r="AH1" s="1840"/>
      <c r="AI1" s="1840"/>
      <c r="AJ1" s="1840"/>
      <c r="AK1" s="1840"/>
      <c r="AL1" s="1840"/>
      <c r="AM1" s="1840"/>
      <c r="AN1" s="1840"/>
      <c r="AO1" s="1840"/>
      <c r="AP1" s="1840"/>
      <c r="AQ1" s="1840"/>
      <c r="AR1" s="1840"/>
      <c r="AS1" s="1840"/>
      <c r="AT1" s="1840"/>
      <c r="AU1" s="1840"/>
      <c r="AV1" s="1840"/>
      <c r="AW1" s="1840"/>
      <c r="AX1" s="1840"/>
      <c r="AY1" s="1840"/>
      <c r="AZ1" s="1840"/>
      <c r="BA1" s="1840"/>
      <c r="BB1" s="1840"/>
      <c r="BC1" s="1840"/>
      <c r="BD1" s="1840"/>
      <c r="BE1" s="1840"/>
      <c r="BF1" s="1840"/>
      <c r="BG1" s="1840"/>
      <c r="BH1" s="1840"/>
      <c r="BI1" s="1840"/>
      <c r="BJ1" s="1840"/>
      <c r="BK1" s="1840"/>
      <c r="BL1" s="1840"/>
      <c r="BM1" s="1840"/>
      <c r="BN1" s="1840"/>
      <c r="BO1" s="1840"/>
      <c r="BP1" s="1840"/>
      <c r="BQ1" s="1840"/>
      <c r="BR1" s="1840"/>
      <c r="BS1" s="1840"/>
      <c r="BT1" s="1840"/>
      <c r="BU1" s="1840"/>
      <c r="BV1" s="1840"/>
      <c r="BW1" s="1840"/>
      <c r="BX1" s="1840"/>
      <c r="BY1" s="1840"/>
      <c r="BZ1" s="1840"/>
      <c r="CA1" s="1840"/>
      <c r="CB1" s="1840"/>
      <c r="CC1" s="1840"/>
      <c r="CD1" s="1840"/>
      <c r="CE1" s="1840"/>
      <c r="CF1" s="1840"/>
      <c r="CG1" s="1840"/>
      <c r="CH1" s="1840"/>
      <c r="CI1" s="1840"/>
      <c r="CJ1" s="1840"/>
      <c r="CK1" s="1840"/>
      <c r="CL1" s="1840"/>
      <c r="CM1" s="1840"/>
      <c r="CN1" s="1840"/>
      <c r="CO1" s="1840"/>
      <c r="CP1" s="1840"/>
      <c r="CQ1" s="1840"/>
      <c r="CR1" s="1840"/>
      <c r="CS1" s="1840"/>
      <c r="CT1" s="1840"/>
      <c r="CU1" s="1840"/>
      <c r="CV1" s="1840"/>
      <c r="CW1" s="1840"/>
      <c r="CX1" s="1840"/>
      <c r="CY1" s="1840"/>
    </row>
    <row r="2" spans="1:103" s="1178" customFormat="1" ht="17.25" thickBot="1">
      <c r="A2" s="1841" t="s">
        <v>188</v>
      </c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1841"/>
      <c r="Z2" s="1841"/>
      <c r="AA2" s="1841"/>
      <c r="AB2" s="1841"/>
      <c r="AC2" s="1841"/>
      <c r="AD2" s="1841"/>
      <c r="AE2" s="1841"/>
      <c r="AF2" s="1841"/>
      <c r="AG2" s="1841"/>
      <c r="AH2" s="1841"/>
      <c r="AI2" s="1841"/>
      <c r="AJ2" s="1841"/>
      <c r="AK2" s="1841"/>
      <c r="AL2" s="1841"/>
      <c r="AM2" s="1841"/>
      <c r="AN2" s="1841"/>
      <c r="AO2" s="1841"/>
      <c r="AP2" s="1841"/>
      <c r="AQ2" s="1841"/>
      <c r="AR2" s="1841"/>
      <c r="AS2" s="1841"/>
      <c r="AT2" s="1841"/>
      <c r="AU2" s="1841"/>
      <c r="AV2" s="1841"/>
      <c r="AW2" s="1841"/>
      <c r="AX2" s="1841"/>
      <c r="AY2" s="1841"/>
      <c r="AZ2" s="1841"/>
      <c r="BA2" s="1841"/>
      <c r="BB2" s="1841"/>
      <c r="BC2" s="1841"/>
      <c r="BD2" s="1841"/>
      <c r="BE2" s="1841"/>
      <c r="BF2" s="1841"/>
      <c r="BG2" s="1841"/>
      <c r="BH2" s="1841"/>
      <c r="BI2" s="1841"/>
      <c r="BJ2" s="1841"/>
      <c r="BK2" s="1841"/>
      <c r="BL2" s="1841"/>
      <c r="BM2" s="1841"/>
      <c r="BN2" s="1841"/>
      <c r="BO2" s="1841"/>
      <c r="BP2" s="1841"/>
      <c r="BQ2" s="1841"/>
      <c r="BR2" s="1841"/>
      <c r="BS2" s="1841"/>
      <c r="BT2" s="1841"/>
      <c r="BU2" s="1841"/>
      <c r="BV2" s="1841"/>
      <c r="BW2" s="1841"/>
      <c r="BX2" s="1841"/>
      <c r="BY2" s="1841"/>
      <c r="BZ2" s="1841"/>
      <c r="CA2" s="1841"/>
      <c r="CB2" s="1841"/>
      <c r="CC2" s="1841"/>
      <c r="CD2" s="1841"/>
      <c r="CE2" s="1841"/>
      <c r="CF2" s="1841"/>
      <c r="CG2" s="1841"/>
      <c r="CH2" s="1841"/>
      <c r="CI2" s="1841"/>
      <c r="CJ2" s="1841"/>
      <c r="CK2" s="1841"/>
      <c r="CL2" s="1841"/>
      <c r="CM2" s="1841"/>
      <c r="CN2" s="1841"/>
      <c r="CO2" s="1841"/>
      <c r="CP2" s="1841"/>
      <c r="CQ2" s="1841"/>
      <c r="CR2" s="1841"/>
      <c r="CS2" s="1841"/>
      <c r="CT2" s="1841"/>
      <c r="CU2" s="1841"/>
      <c r="CV2" s="1841"/>
      <c r="CW2" s="1841"/>
      <c r="CX2" s="1841"/>
      <c r="CY2" s="1841"/>
    </row>
    <row r="3" spans="1:105" s="1178" customFormat="1" ht="17.25" customHeight="1" thickBot="1">
      <c r="A3" s="1842" t="s">
        <v>17</v>
      </c>
      <c r="B3" s="1833" t="s">
        <v>190</v>
      </c>
      <c r="C3" s="1834"/>
      <c r="D3" s="1834"/>
      <c r="E3" s="1834"/>
      <c r="F3" s="1833" t="s">
        <v>191</v>
      </c>
      <c r="G3" s="1834"/>
      <c r="H3" s="1834"/>
      <c r="I3" s="1835"/>
      <c r="J3" s="1833" t="s">
        <v>192</v>
      </c>
      <c r="K3" s="1834"/>
      <c r="L3" s="1834"/>
      <c r="M3" s="1835"/>
      <c r="N3" s="1834" t="s">
        <v>193</v>
      </c>
      <c r="O3" s="1834"/>
      <c r="P3" s="1834"/>
      <c r="Q3" s="1834"/>
      <c r="R3" s="1833" t="s">
        <v>194</v>
      </c>
      <c r="S3" s="1834"/>
      <c r="T3" s="1834"/>
      <c r="U3" s="1835"/>
      <c r="V3" s="1834" t="s">
        <v>195</v>
      </c>
      <c r="W3" s="1834"/>
      <c r="X3" s="1834"/>
      <c r="Y3" s="1834"/>
      <c r="Z3" s="1833" t="s">
        <v>196</v>
      </c>
      <c r="AA3" s="1834"/>
      <c r="AB3" s="1834"/>
      <c r="AC3" s="1835"/>
      <c r="AD3" s="1833" t="s">
        <v>197</v>
      </c>
      <c r="AE3" s="1834"/>
      <c r="AF3" s="1834"/>
      <c r="AG3" s="1835"/>
      <c r="AH3" s="1833" t="s">
        <v>198</v>
      </c>
      <c r="AI3" s="1834"/>
      <c r="AJ3" s="1834"/>
      <c r="AK3" s="1835"/>
      <c r="AL3" s="1834" t="s">
        <v>199</v>
      </c>
      <c r="AM3" s="1834"/>
      <c r="AN3" s="1834"/>
      <c r="AO3" s="1834"/>
      <c r="AP3" s="1833" t="s">
        <v>200</v>
      </c>
      <c r="AQ3" s="1834"/>
      <c r="AR3" s="1834"/>
      <c r="AS3" s="1835"/>
      <c r="AT3" s="1834" t="s">
        <v>201</v>
      </c>
      <c r="AU3" s="1834"/>
      <c r="AV3" s="1834"/>
      <c r="AW3" s="1834"/>
      <c r="AX3" s="1833" t="s">
        <v>202</v>
      </c>
      <c r="AY3" s="1834"/>
      <c r="AZ3" s="1834"/>
      <c r="BA3" s="1835"/>
      <c r="BB3" s="1834" t="s">
        <v>203</v>
      </c>
      <c r="BC3" s="1834"/>
      <c r="BD3" s="1834"/>
      <c r="BE3" s="1834"/>
      <c r="BF3" s="1836" t="s">
        <v>204</v>
      </c>
      <c r="BG3" s="1837"/>
      <c r="BH3" s="1837"/>
      <c r="BI3" s="1838"/>
      <c r="BJ3" s="1839" t="s">
        <v>205</v>
      </c>
      <c r="BK3" s="1839"/>
      <c r="BL3" s="1839"/>
      <c r="BM3" s="1839"/>
      <c r="BN3" s="1844" t="s">
        <v>206</v>
      </c>
      <c r="BO3" s="1839"/>
      <c r="BP3" s="1839"/>
      <c r="BQ3" s="1845"/>
      <c r="BR3" s="1839" t="s">
        <v>207</v>
      </c>
      <c r="BS3" s="1839"/>
      <c r="BT3" s="1839"/>
      <c r="BU3" s="1839"/>
      <c r="BV3" s="1846" t="s">
        <v>208</v>
      </c>
      <c r="BW3" s="1847"/>
      <c r="BX3" s="1847"/>
      <c r="BY3" s="1848"/>
      <c r="BZ3" s="1834" t="s">
        <v>209</v>
      </c>
      <c r="CA3" s="1834"/>
      <c r="CB3" s="1834"/>
      <c r="CC3" s="1834"/>
      <c r="CD3" s="1833" t="s">
        <v>210</v>
      </c>
      <c r="CE3" s="1834"/>
      <c r="CF3" s="1834"/>
      <c r="CG3" s="1835"/>
      <c r="CH3" s="1839" t="s">
        <v>211</v>
      </c>
      <c r="CI3" s="1839"/>
      <c r="CJ3" s="1839"/>
      <c r="CK3" s="1839"/>
      <c r="CL3" s="1844" t="s">
        <v>212</v>
      </c>
      <c r="CM3" s="1839"/>
      <c r="CN3" s="1839"/>
      <c r="CO3" s="1845"/>
      <c r="CP3" s="1839" t="s">
        <v>1</v>
      </c>
      <c r="CQ3" s="1839"/>
      <c r="CR3" s="1839"/>
      <c r="CS3" s="1845"/>
      <c r="CT3" s="1836" t="s">
        <v>213</v>
      </c>
      <c r="CU3" s="1837"/>
      <c r="CV3" s="1837"/>
      <c r="CW3" s="1838"/>
      <c r="CX3" s="1836" t="s">
        <v>2</v>
      </c>
      <c r="CY3" s="1837"/>
      <c r="CZ3" s="1837"/>
      <c r="DA3" s="1838"/>
    </row>
    <row r="4" spans="1:105" s="890" customFormat="1" ht="17.25" thickBot="1">
      <c r="A4" s="1843"/>
      <c r="B4" s="887" t="s">
        <v>285</v>
      </c>
      <c r="C4" s="888" t="s">
        <v>286</v>
      </c>
      <c r="D4" s="888" t="s">
        <v>287</v>
      </c>
      <c r="E4" s="888" t="s">
        <v>288</v>
      </c>
      <c r="F4" s="887" t="s">
        <v>285</v>
      </c>
      <c r="G4" s="888" t="s">
        <v>286</v>
      </c>
      <c r="H4" s="888" t="s">
        <v>287</v>
      </c>
      <c r="I4" s="889" t="s">
        <v>288</v>
      </c>
      <c r="J4" s="887" t="s">
        <v>285</v>
      </c>
      <c r="K4" s="888" t="s">
        <v>286</v>
      </c>
      <c r="L4" s="888" t="s">
        <v>287</v>
      </c>
      <c r="M4" s="888" t="s">
        <v>288</v>
      </c>
      <c r="N4" s="887" t="s">
        <v>285</v>
      </c>
      <c r="O4" s="888" t="s">
        <v>286</v>
      </c>
      <c r="P4" s="888" t="s">
        <v>287</v>
      </c>
      <c r="Q4" s="888" t="s">
        <v>288</v>
      </c>
      <c r="R4" s="887" t="s">
        <v>285</v>
      </c>
      <c r="S4" s="888" t="s">
        <v>286</v>
      </c>
      <c r="T4" s="888" t="s">
        <v>287</v>
      </c>
      <c r="U4" s="889" t="s">
        <v>288</v>
      </c>
      <c r="V4" s="888" t="s">
        <v>285</v>
      </c>
      <c r="W4" s="888" t="s">
        <v>286</v>
      </c>
      <c r="X4" s="888" t="s">
        <v>287</v>
      </c>
      <c r="Y4" s="888" t="s">
        <v>288</v>
      </c>
      <c r="Z4" s="887" t="s">
        <v>285</v>
      </c>
      <c r="AA4" s="888" t="s">
        <v>286</v>
      </c>
      <c r="AB4" s="888" t="s">
        <v>287</v>
      </c>
      <c r="AC4" s="889" t="s">
        <v>288</v>
      </c>
      <c r="AD4" s="887" t="s">
        <v>285</v>
      </c>
      <c r="AE4" s="888" t="s">
        <v>286</v>
      </c>
      <c r="AF4" s="888" t="s">
        <v>287</v>
      </c>
      <c r="AG4" s="889" t="s">
        <v>288</v>
      </c>
      <c r="AH4" s="887" t="s">
        <v>285</v>
      </c>
      <c r="AI4" s="888" t="s">
        <v>3</v>
      </c>
      <c r="AJ4" s="888" t="s">
        <v>4</v>
      </c>
      <c r="AK4" s="889" t="s">
        <v>5</v>
      </c>
      <c r="AL4" s="888" t="s">
        <v>285</v>
      </c>
      <c r="AM4" s="888" t="s">
        <v>286</v>
      </c>
      <c r="AN4" s="888" t="s">
        <v>287</v>
      </c>
      <c r="AO4" s="888" t="s">
        <v>288</v>
      </c>
      <c r="AP4" s="887" t="s">
        <v>285</v>
      </c>
      <c r="AQ4" s="888" t="s">
        <v>286</v>
      </c>
      <c r="AR4" s="888" t="s">
        <v>287</v>
      </c>
      <c r="AS4" s="889" t="s">
        <v>288</v>
      </c>
      <c r="AT4" s="888" t="s">
        <v>285</v>
      </c>
      <c r="AU4" s="888" t="s">
        <v>286</v>
      </c>
      <c r="AV4" s="888" t="s">
        <v>287</v>
      </c>
      <c r="AW4" s="888" t="s">
        <v>288</v>
      </c>
      <c r="AX4" s="887" t="s">
        <v>285</v>
      </c>
      <c r="AY4" s="888" t="s">
        <v>286</v>
      </c>
      <c r="AZ4" s="888" t="s">
        <v>287</v>
      </c>
      <c r="BA4" s="889" t="s">
        <v>288</v>
      </c>
      <c r="BB4" s="888" t="s">
        <v>285</v>
      </c>
      <c r="BC4" s="888" t="s">
        <v>286</v>
      </c>
      <c r="BD4" s="888" t="s">
        <v>287</v>
      </c>
      <c r="BE4" s="888" t="s">
        <v>288</v>
      </c>
      <c r="BF4" s="887" t="s">
        <v>285</v>
      </c>
      <c r="BG4" s="888" t="s">
        <v>286</v>
      </c>
      <c r="BH4" s="888" t="s">
        <v>287</v>
      </c>
      <c r="BI4" s="889" t="s">
        <v>288</v>
      </c>
      <c r="BJ4" s="888" t="s">
        <v>285</v>
      </c>
      <c r="BK4" s="888" t="s">
        <v>286</v>
      </c>
      <c r="BL4" s="888" t="s">
        <v>287</v>
      </c>
      <c r="BM4" s="888" t="s">
        <v>288</v>
      </c>
      <c r="BN4" s="887" t="s">
        <v>285</v>
      </c>
      <c r="BO4" s="888" t="s">
        <v>286</v>
      </c>
      <c r="BP4" s="888" t="s">
        <v>287</v>
      </c>
      <c r="BQ4" s="889" t="s">
        <v>288</v>
      </c>
      <c r="BR4" s="888" t="s">
        <v>285</v>
      </c>
      <c r="BS4" s="888" t="s">
        <v>286</v>
      </c>
      <c r="BT4" s="888" t="s">
        <v>287</v>
      </c>
      <c r="BU4" s="888" t="s">
        <v>288</v>
      </c>
      <c r="BV4" s="887" t="s">
        <v>285</v>
      </c>
      <c r="BW4" s="888" t="s">
        <v>286</v>
      </c>
      <c r="BX4" s="888" t="s">
        <v>287</v>
      </c>
      <c r="BY4" s="889" t="s">
        <v>288</v>
      </c>
      <c r="BZ4" s="888" t="s">
        <v>285</v>
      </c>
      <c r="CA4" s="888" t="s">
        <v>286</v>
      </c>
      <c r="CB4" s="888" t="s">
        <v>287</v>
      </c>
      <c r="CC4" s="888" t="s">
        <v>288</v>
      </c>
      <c r="CD4" s="887" t="s">
        <v>285</v>
      </c>
      <c r="CE4" s="888" t="s">
        <v>286</v>
      </c>
      <c r="CF4" s="888" t="s">
        <v>287</v>
      </c>
      <c r="CG4" s="889" t="s">
        <v>288</v>
      </c>
      <c r="CH4" s="888" t="s">
        <v>285</v>
      </c>
      <c r="CI4" s="888" t="s">
        <v>286</v>
      </c>
      <c r="CJ4" s="888" t="s">
        <v>287</v>
      </c>
      <c r="CK4" s="888" t="s">
        <v>288</v>
      </c>
      <c r="CL4" s="887" t="s">
        <v>285</v>
      </c>
      <c r="CM4" s="888" t="s">
        <v>286</v>
      </c>
      <c r="CN4" s="888" t="s">
        <v>287</v>
      </c>
      <c r="CO4" s="889" t="s">
        <v>288</v>
      </c>
      <c r="CP4" s="888" t="s">
        <v>285</v>
      </c>
      <c r="CQ4" s="888" t="s">
        <v>286</v>
      </c>
      <c r="CR4" s="888" t="s">
        <v>287</v>
      </c>
      <c r="CS4" s="888" t="s">
        <v>288</v>
      </c>
      <c r="CT4" s="887" t="s">
        <v>285</v>
      </c>
      <c r="CU4" s="888" t="s">
        <v>286</v>
      </c>
      <c r="CV4" s="888" t="s">
        <v>287</v>
      </c>
      <c r="CW4" s="888" t="s">
        <v>288</v>
      </c>
      <c r="CX4" s="887" t="s">
        <v>285</v>
      </c>
      <c r="CY4" s="888" t="s">
        <v>286</v>
      </c>
      <c r="CZ4" s="888" t="s">
        <v>287</v>
      </c>
      <c r="DA4" s="889" t="s">
        <v>288</v>
      </c>
    </row>
    <row r="5" spans="1:105" ht="17.25">
      <c r="A5" s="383" t="s">
        <v>6</v>
      </c>
      <c r="B5" s="778">
        <v>308</v>
      </c>
      <c r="C5" s="779">
        <v>329</v>
      </c>
      <c r="D5" s="779">
        <v>813</v>
      </c>
      <c r="E5" s="780">
        <v>791</v>
      </c>
      <c r="F5" s="781">
        <v>-0.05</v>
      </c>
      <c r="G5" s="782">
        <v>-0.01</v>
      </c>
      <c r="H5" s="782">
        <v>-0.09</v>
      </c>
      <c r="I5" s="784">
        <v>-0.04</v>
      </c>
      <c r="J5" s="781">
        <v>36.81</v>
      </c>
      <c r="K5" s="782">
        <v>56.58</v>
      </c>
      <c r="L5" s="782">
        <v>69.47</v>
      </c>
      <c r="M5" s="784">
        <v>113.34</v>
      </c>
      <c r="N5" s="785">
        <v>465</v>
      </c>
      <c r="O5" s="782">
        <v>372</v>
      </c>
      <c r="P5" s="782">
        <v>1246</v>
      </c>
      <c r="Q5" s="783">
        <v>1153</v>
      </c>
      <c r="R5" s="781">
        <v>78.21</v>
      </c>
      <c r="S5" s="782">
        <v>69.79</v>
      </c>
      <c r="T5" s="782">
        <v>219</v>
      </c>
      <c r="U5" s="784">
        <v>174</v>
      </c>
      <c r="V5" s="785"/>
      <c r="W5" s="782"/>
      <c r="X5" s="782"/>
      <c r="Y5" s="783"/>
      <c r="Z5" s="781">
        <v>24.1</v>
      </c>
      <c r="AA5" s="782">
        <v>36.56</v>
      </c>
      <c r="AB5" s="782">
        <v>102.37</v>
      </c>
      <c r="AC5" s="784">
        <v>116.89</v>
      </c>
      <c r="AD5" s="786">
        <v>84</v>
      </c>
      <c r="AE5" s="787">
        <v>82.81</v>
      </c>
      <c r="AF5" s="787">
        <v>204.66</v>
      </c>
      <c r="AG5" s="788">
        <v>167.67</v>
      </c>
      <c r="AH5" s="786">
        <v>153.56</v>
      </c>
      <c r="AI5" s="59">
        <v>152.77</v>
      </c>
      <c r="AJ5" s="59">
        <v>396.26</v>
      </c>
      <c r="AK5" s="71">
        <v>387.47</v>
      </c>
      <c r="AL5" s="70">
        <v>32.07</v>
      </c>
      <c r="AM5" s="59">
        <v>32.32</v>
      </c>
      <c r="AN5" s="59">
        <v>72.81</v>
      </c>
      <c r="AO5" s="1326">
        <v>76.5</v>
      </c>
      <c r="AP5" s="786">
        <v>406.16</v>
      </c>
      <c r="AQ5" s="59">
        <v>321.49</v>
      </c>
      <c r="AR5" s="59">
        <v>1052.01</v>
      </c>
      <c r="AS5" s="71">
        <v>784.26</v>
      </c>
      <c r="AT5" s="70">
        <v>584.3</v>
      </c>
      <c r="AU5" s="59">
        <v>558.2</v>
      </c>
      <c r="AV5" s="59">
        <v>1772.9</v>
      </c>
      <c r="AW5" s="1326">
        <v>2148</v>
      </c>
      <c r="AX5" s="1329">
        <v>16.24</v>
      </c>
      <c r="AY5" s="789">
        <v>15.6</v>
      </c>
      <c r="AZ5" s="789">
        <v>47.02</v>
      </c>
      <c r="BA5" s="790">
        <v>48.87</v>
      </c>
      <c r="BB5" s="70">
        <v>6.67</v>
      </c>
      <c r="BC5" s="782">
        <v>4.04</v>
      </c>
      <c r="BD5" s="782">
        <v>16.17</v>
      </c>
      <c r="BE5" s="783">
        <v>11.99</v>
      </c>
      <c r="BF5" s="781">
        <v>267.98</v>
      </c>
      <c r="BG5" s="782">
        <v>233.13</v>
      </c>
      <c r="BH5" s="782">
        <v>719.73</v>
      </c>
      <c r="BI5" s="784">
        <v>636.28</v>
      </c>
      <c r="BJ5" s="785">
        <v>367.26</v>
      </c>
      <c r="BK5" s="782">
        <v>309.75</v>
      </c>
      <c r="BL5" s="782">
        <v>1100.96</v>
      </c>
      <c r="BM5" s="783">
        <v>939.18</v>
      </c>
      <c r="BN5" s="781">
        <v>21.93</v>
      </c>
      <c r="BO5" s="782">
        <v>23.72</v>
      </c>
      <c r="BP5" s="782">
        <v>63.73</v>
      </c>
      <c r="BQ5" s="784">
        <v>68.06</v>
      </c>
      <c r="BR5" s="785">
        <v>146.55</v>
      </c>
      <c r="BS5" s="782">
        <v>175.87</v>
      </c>
      <c r="BT5" s="782">
        <v>503.92</v>
      </c>
      <c r="BU5" s="783">
        <v>494</v>
      </c>
      <c r="BV5" s="1331"/>
      <c r="BW5" s="782"/>
      <c r="BX5" s="782"/>
      <c r="BY5" s="784"/>
      <c r="BZ5" s="791">
        <v>962</v>
      </c>
      <c r="CA5" s="792">
        <v>918</v>
      </c>
      <c r="CB5" s="792">
        <v>2857</v>
      </c>
      <c r="CC5" s="1335">
        <v>2626</v>
      </c>
      <c r="CD5" s="793">
        <v>14.02</v>
      </c>
      <c r="CE5" s="794">
        <v>14.92</v>
      </c>
      <c r="CF5" s="794">
        <v>43.58</v>
      </c>
      <c r="CG5" s="795">
        <v>54.93</v>
      </c>
      <c r="CH5" s="796">
        <v>0.39</v>
      </c>
      <c r="CI5" s="797">
        <v>1.08</v>
      </c>
      <c r="CJ5" s="797">
        <v>1.35</v>
      </c>
      <c r="CK5" s="1341">
        <v>3.12</v>
      </c>
      <c r="CL5" s="781">
        <v>283.91</v>
      </c>
      <c r="CM5" s="782">
        <v>192.21</v>
      </c>
      <c r="CN5" s="782">
        <v>679.4</v>
      </c>
      <c r="CO5" s="784">
        <v>461.01</v>
      </c>
      <c r="CP5" s="799">
        <f>SUM(B5+F5+J5+N5+R5+V5+Z5+AD5+AH5+AL5+AP5+AT5+AX5+BB5+BF5+BJ5+BN5+BR5+BV5+BZ5+CD5+CH5+CL5)</f>
        <v>4259.11</v>
      </c>
      <c r="CQ5" s="799">
        <f aca="true" t="shared" si="0" ref="CQ5:CS18">SUM(C5+G5+K5+O5+S5+W5+AA5+AE5+AI5+AM5+AQ5+AU5+AY5+BC5+BG5+BK5+BO5+BS5+BW5+CA5+CE5+CI5+CM5)</f>
        <v>3899.8299999999995</v>
      </c>
      <c r="CR5" s="799">
        <f t="shared" si="0"/>
        <v>11981.249999999998</v>
      </c>
      <c r="CS5" s="799">
        <f t="shared" si="0"/>
        <v>11255.530000000002</v>
      </c>
      <c r="CT5" s="800">
        <v>16709.32</v>
      </c>
      <c r="CU5" s="797">
        <v>14562.55</v>
      </c>
      <c r="CV5" s="797">
        <v>48886.66</v>
      </c>
      <c r="CW5" s="798">
        <v>49490.43</v>
      </c>
      <c r="CX5" s="801">
        <f>CP5+CT5</f>
        <v>20968.43</v>
      </c>
      <c r="CY5" s="801">
        <f aca="true" t="shared" si="1" ref="CY5:DA18">CQ5+CU5</f>
        <v>18462.379999999997</v>
      </c>
      <c r="CZ5" s="801">
        <f t="shared" si="1"/>
        <v>60867.91</v>
      </c>
      <c r="DA5" s="802">
        <f t="shared" si="1"/>
        <v>60745.96000000001</v>
      </c>
    </row>
    <row r="6" spans="1:105" ht="17.25">
      <c r="A6" s="158" t="s">
        <v>7</v>
      </c>
      <c r="B6" s="382">
        <v>333</v>
      </c>
      <c r="C6" s="101">
        <v>107</v>
      </c>
      <c r="D6" s="101">
        <v>846</v>
      </c>
      <c r="E6" s="102">
        <v>224</v>
      </c>
      <c r="F6" s="103">
        <v>28.08</v>
      </c>
      <c r="G6" s="104">
        <v>0.51</v>
      </c>
      <c r="H6" s="104">
        <v>0.69</v>
      </c>
      <c r="I6" s="106">
        <v>1.16</v>
      </c>
      <c r="J6" s="103">
        <v>5.36</v>
      </c>
      <c r="K6" s="104">
        <v>5.22</v>
      </c>
      <c r="L6" s="104">
        <v>22.15</v>
      </c>
      <c r="M6" s="106">
        <v>12.14</v>
      </c>
      <c r="N6" s="109">
        <v>61</v>
      </c>
      <c r="O6" s="104">
        <v>29</v>
      </c>
      <c r="P6" s="104">
        <v>100</v>
      </c>
      <c r="Q6" s="105">
        <v>78</v>
      </c>
      <c r="R6" s="103">
        <v>0.02</v>
      </c>
      <c r="S6" s="104">
        <v>0.05</v>
      </c>
      <c r="T6" s="104">
        <v>0</v>
      </c>
      <c r="U6" s="106">
        <v>0</v>
      </c>
      <c r="V6" s="109">
        <v>361.39</v>
      </c>
      <c r="W6" s="104">
        <v>276.88</v>
      </c>
      <c r="X6" s="104">
        <v>953.73</v>
      </c>
      <c r="Y6" s="105">
        <v>825.42</v>
      </c>
      <c r="Z6" s="103">
        <v>5.99</v>
      </c>
      <c r="AA6" s="104">
        <v>8.57</v>
      </c>
      <c r="AB6" s="104">
        <v>18.34</v>
      </c>
      <c r="AC6" s="106">
        <v>17.6</v>
      </c>
      <c r="AD6" s="2">
        <v>17</v>
      </c>
      <c r="AE6" s="107">
        <v>18.88</v>
      </c>
      <c r="AF6" s="107">
        <v>38.35</v>
      </c>
      <c r="AG6" s="108">
        <v>37.51</v>
      </c>
      <c r="AH6" s="2">
        <v>20.23</v>
      </c>
      <c r="AI6" s="3">
        <v>16.3</v>
      </c>
      <c r="AJ6" s="3">
        <v>50.4</v>
      </c>
      <c r="AK6" s="4">
        <v>32.79</v>
      </c>
      <c r="AL6" s="29">
        <v>37.97</v>
      </c>
      <c r="AM6" s="3">
        <v>4.65</v>
      </c>
      <c r="AN6" s="3">
        <v>81.56</v>
      </c>
      <c r="AO6" s="351">
        <v>12.6</v>
      </c>
      <c r="AP6" s="2">
        <v>1123.48</v>
      </c>
      <c r="AQ6" s="3">
        <v>1419.35</v>
      </c>
      <c r="AR6" s="3">
        <v>3567.54</v>
      </c>
      <c r="AS6" s="4">
        <v>3493.6</v>
      </c>
      <c r="AT6" s="29">
        <v>1423.1</v>
      </c>
      <c r="AU6" s="3">
        <v>1306.4</v>
      </c>
      <c r="AV6" s="3">
        <v>4492.5</v>
      </c>
      <c r="AW6" s="351">
        <v>4416.7</v>
      </c>
      <c r="AX6" s="352">
        <v>213.39</v>
      </c>
      <c r="AY6" s="5">
        <v>199.46</v>
      </c>
      <c r="AZ6" s="5">
        <v>576.66</v>
      </c>
      <c r="BA6" s="6">
        <v>602.05</v>
      </c>
      <c r="BB6" s="29">
        <v>257.94</v>
      </c>
      <c r="BC6" s="104">
        <v>205.47</v>
      </c>
      <c r="BD6" s="104">
        <v>646.52</v>
      </c>
      <c r="BE6" s="105">
        <v>568.13</v>
      </c>
      <c r="BF6" s="103">
        <v>602.25</v>
      </c>
      <c r="BG6" s="104">
        <v>637.74</v>
      </c>
      <c r="BH6" s="104">
        <v>1167.49</v>
      </c>
      <c r="BI6" s="106">
        <v>1194.12</v>
      </c>
      <c r="BJ6" s="109">
        <v>1340.38</v>
      </c>
      <c r="BK6" s="104">
        <v>1108.14</v>
      </c>
      <c r="BL6" s="104">
        <v>2993</v>
      </c>
      <c r="BM6" s="105">
        <v>2534.51</v>
      </c>
      <c r="BN6" s="103">
        <v>336.64</v>
      </c>
      <c r="BO6" s="104">
        <v>296.55</v>
      </c>
      <c r="BP6" s="104">
        <v>912.79</v>
      </c>
      <c r="BQ6" s="106">
        <v>810.26</v>
      </c>
      <c r="BR6" s="109">
        <v>11.27</v>
      </c>
      <c r="BS6" s="104">
        <v>6.56</v>
      </c>
      <c r="BT6" s="104">
        <v>35.26</v>
      </c>
      <c r="BU6" s="105">
        <v>7.14</v>
      </c>
      <c r="BV6" s="1332"/>
      <c r="BW6" s="104"/>
      <c r="BX6" s="104"/>
      <c r="BY6" s="106"/>
      <c r="BZ6" s="121">
        <v>2025</v>
      </c>
      <c r="CA6" s="122">
        <v>1655</v>
      </c>
      <c r="CB6" s="122">
        <v>6640</v>
      </c>
      <c r="CC6" s="1336">
        <v>5669</v>
      </c>
      <c r="CD6" s="112">
        <v>0.88</v>
      </c>
      <c r="CE6" s="113">
        <v>0.33</v>
      </c>
      <c r="CF6" s="113">
        <v>2.21</v>
      </c>
      <c r="CG6" s="114">
        <v>0.45</v>
      </c>
      <c r="CH6" s="115">
        <v>224.12</v>
      </c>
      <c r="CI6" s="116">
        <v>209.28</v>
      </c>
      <c r="CJ6" s="116">
        <v>598.64</v>
      </c>
      <c r="CK6" s="1342">
        <v>619.8</v>
      </c>
      <c r="CL6" s="103">
        <v>641.22</v>
      </c>
      <c r="CM6" s="104">
        <v>346.91</v>
      </c>
      <c r="CN6" s="104">
        <v>1403.62</v>
      </c>
      <c r="CO6" s="106">
        <v>698.29</v>
      </c>
      <c r="CP6" s="118">
        <f aca="true" t="shared" si="2" ref="CP6:CP18">SUM(B6+F6+J6+N6+R6+V6+Z6+AD6+AH6+AL6+AP6+AT6+AX6+BB6+BF6+BJ6+BN6+BR6+BV6+BZ6+CD6+CH6+CL6)</f>
        <v>9069.710000000001</v>
      </c>
      <c r="CQ6" s="118">
        <f t="shared" si="0"/>
        <v>7858.25</v>
      </c>
      <c r="CR6" s="118">
        <f t="shared" si="0"/>
        <v>25147.449999999997</v>
      </c>
      <c r="CS6" s="118">
        <f t="shared" si="0"/>
        <v>21855.27</v>
      </c>
      <c r="CT6" s="119">
        <v>552.43</v>
      </c>
      <c r="CU6" s="116">
        <v>359.91</v>
      </c>
      <c r="CV6" s="116">
        <v>1269.38</v>
      </c>
      <c r="CW6" s="117">
        <v>1350.43</v>
      </c>
      <c r="CX6" s="120">
        <f aca="true" t="shared" si="3" ref="CX6:CX18">CP6+CT6</f>
        <v>9622.140000000001</v>
      </c>
      <c r="CY6" s="120">
        <f t="shared" si="1"/>
        <v>8218.16</v>
      </c>
      <c r="CZ6" s="120">
        <f t="shared" si="1"/>
        <v>26416.829999999998</v>
      </c>
      <c r="DA6" s="384">
        <f t="shared" si="1"/>
        <v>23205.7</v>
      </c>
    </row>
    <row r="7" spans="1:105" ht="17.25">
      <c r="A7" s="158" t="s">
        <v>8</v>
      </c>
      <c r="B7" s="382">
        <v>0</v>
      </c>
      <c r="C7" s="101">
        <v>6</v>
      </c>
      <c r="D7" s="101">
        <v>0</v>
      </c>
      <c r="E7" s="102">
        <v>16</v>
      </c>
      <c r="F7" s="103">
        <v>2.13</v>
      </c>
      <c r="G7" s="104">
        <v>2.39</v>
      </c>
      <c r="H7" s="104">
        <v>3.33</v>
      </c>
      <c r="I7" s="106">
        <v>11.44</v>
      </c>
      <c r="J7" s="103">
        <v>14.63</v>
      </c>
      <c r="K7" s="104">
        <v>4.86</v>
      </c>
      <c r="L7" s="104">
        <v>22.18</v>
      </c>
      <c r="M7" s="106">
        <v>8.86</v>
      </c>
      <c r="N7" s="109">
        <v>19</v>
      </c>
      <c r="O7" s="104">
        <v>8</v>
      </c>
      <c r="P7" s="104">
        <v>42</v>
      </c>
      <c r="Q7" s="105">
        <v>17</v>
      </c>
      <c r="R7" s="103">
        <v>16.16</v>
      </c>
      <c r="S7" s="104">
        <v>13.66</v>
      </c>
      <c r="T7" s="104">
        <v>56</v>
      </c>
      <c r="U7" s="106">
        <v>28</v>
      </c>
      <c r="V7" s="109">
        <v>0.54</v>
      </c>
      <c r="W7" s="104">
        <v>0.07</v>
      </c>
      <c r="X7" s="104">
        <v>1.46</v>
      </c>
      <c r="Y7" s="105">
        <v>0.07</v>
      </c>
      <c r="Z7" s="103">
        <v>2.85</v>
      </c>
      <c r="AA7" s="104">
        <v>34.21</v>
      </c>
      <c r="AB7" s="104">
        <v>55.09</v>
      </c>
      <c r="AC7" s="106">
        <v>73.92</v>
      </c>
      <c r="AD7" s="2">
        <v>12</v>
      </c>
      <c r="AE7" s="107">
        <v>8.99</v>
      </c>
      <c r="AF7" s="107">
        <v>28.64</v>
      </c>
      <c r="AG7" s="108">
        <v>22</v>
      </c>
      <c r="AH7" s="2">
        <v>10.09</v>
      </c>
      <c r="AI7" s="3">
        <v>9.01</v>
      </c>
      <c r="AJ7" s="3">
        <v>33.37</v>
      </c>
      <c r="AK7" s="4">
        <v>33.64</v>
      </c>
      <c r="AL7" s="29">
        <v>11.75</v>
      </c>
      <c r="AM7" s="3">
        <v>7.4</v>
      </c>
      <c r="AN7" s="3">
        <v>38.42</v>
      </c>
      <c r="AO7" s="351">
        <v>18.48</v>
      </c>
      <c r="AP7" s="2">
        <v>137.75</v>
      </c>
      <c r="AQ7" s="3">
        <v>104.29</v>
      </c>
      <c r="AR7" s="3">
        <v>358.22</v>
      </c>
      <c r="AS7" s="4">
        <v>285.99</v>
      </c>
      <c r="AT7" s="29">
        <v>74.3</v>
      </c>
      <c r="AU7" s="3">
        <v>84.3</v>
      </c>
      <c r="AV7" s="3">
        <v>209.9</v>
      </c>
      <c r="AW7" s="351">
        <v>240.9</v>
      </c>
      <c r="AX7" s="352"/>
      <c r="AY7" s="5"/>
      <c r="AZ7" s="5"/>
      <c r="BA7" s="6"/>
      <c r="BB7" s="29">
        <v>4.2</v>
      </c>
      <c r="BC7" s="104">
        <v>1.57</v>
      </c>
      <c r="BD7" s="104">
        <v>6.84</v>
      </c>
      <c r="BE7" s="105">
        <v>4.66</v>
      </c>
      <c r="BF7" s="103">
        <v>0.72</v>
      </c>
      <c r="BG7" s="104">
        <v>1.34</v>
      </c>
      <c r="BH7" s="104">
        <v>1.44</v>
      </c>
      <c r="BI7" s="106">
        <v>5.65</v>
      </c>
      <c r="BJ7" s="109">
        <v>40.79</v>
      </c>
      <c r="BK7" s="104">
        <v>41.88</v>
      </c>
      <c r="BL7" s="104">
        <v>113.26</v>
      </c>
      <c r="BM7" s="105">
        <v>102.43</v>
      </c>
      <c r="BN7" s="103">
        <v>0.01</v>
      </c>
      <c r="BO7" s="104">
        <v>0.35</v>
      </c>
      <c r="BP7" s="104">
        <v>0.01</v>
      </c>
      <c r="BQ7" s="106">
        <v>0.47</v>
      </c>
      <c r="BR7" s="109">
        <v>16.32</v>
      </c>
      <c r="BS7" s="104">
        <v>6.35</v>
      </c>
      <c r="BT7" s="104">
        <v>55.88</v>
      </c>
      <c r="BU7" s="105">
        <v>27.01</v>
      </c>
      <c r="BV7" s="1332"/>
      <c r="BW7" s="104"/>
      <c r="BX7" s="104"/>
      <c r="BY7" s="106"/>
      <c r="BZ7" s="110">
        <v>30</v>
      </c>
      <c r="CA7" s="111">
        <v>17</v>
      </c>
      <c r="CB7" s="111">
        <v>67</v>
      </c>
      <c r="CC7" s="1337">
        <v>43</v>
      </c>
      <c r="CD7" s="112">
        <v>82.86</v>
      </c>
      <c r="CE7" s="113">
        <v>76.36</v>
      </c>
      <c r="CF7" s="113">
        <v>250.66</v>
      </c>
      <c r="CG7" s="114">
        <v>238.25</v>
      </c>
      <c r="CH7" s="115"/>
      <c r="CI7" s="116"/>
      <c r="CJ7" s="116"/>
      <c r="CK7" s="1342"/>
      <c r="CL7" s="103">
        <v>13.73</v>
      </c>
      <c r="CM7" s="104">
        <v>6.63</v>
      </c>
      <c r="CN7" s="104">
        <v>26.6</v>
      </c>
      <c r="CO7" s="106">
        <v>7.89</v>
      </c>
      <c r="CP7" s="118">
        <f t="shared" si="2"/>
        <v>489.83000000000004</v>
      </c>
      <c r="CQ7" s="118">
        <f t="shared" si="0"/>
        <v>434.66</v>
      </c>
      <c r="CR7" s="118">
        <f t="shared" si="0"/>
        <v>1370.3000000000002</v>
      </c>
      <c r="CS7" s="118">
        <f t="shared" si="0"/>
        <v>1185.66</v>
      </c>
      <c r="CT7" s="119">
        <v>19.05</v>
      </c>
      <c r="CU7" s="116">
        <v>10.23</v>
      </c>
      <c r="CV7" s="116">
        <v>46</v>
      </c>
      <c r="CW7" s="117">
        <v>36.65</v>
      </c>
      <c r="CX7" s="120">
        <f t="shared" si="3"/>
        <v>508.88000000000005</v>
      </c>
      <c r="CY7" s="120">
        <f t="shared" si="1"/>
        <v>444.89000000000004</v>
      </c>
      <c r="CZ7" s="120">
        <f t="shared" si="1"/>
        <v>1416.3000000000002</v>
      </c>
      <c r="DA7" s="384">
        <f t="shared" si="1"/>
        <v>1222.3100000000002</v>
      </c>
    </row>
    <row r="8" spans="1:105" ht="17.25">
      <c r="A8" s="158" t="s">
        <v>9</v>
      </c>
      <c r="B8" s="382">
        <v>16</v>
      </c>
      <c r="C8" s="101">
        <v>10</v>
      </c>
      <c r="D8" s="101">
        <v>49</v>
      </c>
      <c r="E8" s="102">
        <v>31</v>
      </c>
      <c r="F8" s="103">
        <v>2.07</v>
      </c>
      <c r="G8" s="104">
        <v>0.71</v>
      </c>
      <c r="H8" s="104">
        <v>0.01</v>
      </c>
      <c r="I8" s="106">
        <v>0.16</v>
      </c>
      <c r="J8" s="103">
        <v>1.64</v>
      </c>
      <c r="K8" s="104">
        <v>2.64</v>
      </c>
      <c r="L8" s="104">
        <v>9.77</v>
      </c>
      <c r="M8" s="106">
        <v>4.57</v>
      </c>
      <c r="N8" s="109">
        <v>21</v>
      </c>
      <c r="O8" s="104">
        <v>13</v>
      </c>
      <c r="P8" s="104">
        <v>59</v>
      </c>
      <c r="Q8" s="105">
        <v>33</v>
      </c>
      <c r="R8" s="103">
        <v>110.61</v>
      </c>
      <c r="S8" s="104">
        <v>84.52</v>
      </c>
      <c r="T8" s="104">
        <v>301</v>
      </c>
      <c r="U8" s="106">
        <v>187</v>
      </c>
      <c r="V8" s="109"/>
      <c r="W8" s="104"/>
      <c r="X8" s="104"/>
      <c r="Y8" s="105"/>
      <c r="Z8" s="103">
        <v>-0.02</v>
      </c>
      <c r="AA8" s="104">
        <v>-0.09</v>
      </c>
      <c r="AB8" s="104">
        <v>-0.44</v>
      </c>
      <c r="AC8" s="106">
        <v>-0.48</v>
      </c>
      <c r="AD8" s="2">
        <v>4</v>
      </c>
      <c r="AE8" s="107">
        <v>2.61</v>
      </c>
      <c r="AF8" s="107">
        <v>11.22</v>
      </c>
      <c r="AG8" s="108">
        <v>5.43</v>
      </c>
      <c r="AH8" s="2">
        <v>64.9</v>
      </c>
      <c r="AI8" s="3">
        <v>41.6</v>
      </c>
      <c r="AJ8" s="3">
        <v>169.66</v>
      </c>
      <c r="AK8" s="4">
        <v>122.05</v>
      </c>
      <c r="AL8" s="29">
        <v>5.78</v>
      </c>
      <c r="AM8" s="3">
        <v>7.62</v>
      </c>
      <c r="AN8" s="3">
        <v>0.89</v>
      </c>
      <c r="AO8" s="351">
        <v>28.06</v>
      </c>
      <c r="AP8" s="2">
        <v>64.22</v>
      </c>
      <c r="AQ8" s="3">
        <v>83.47</v>
      </c>
      <c r="AR8" s="3">
        <v>236.86</v>
      </c>
      <c r="AS8" s="4">
        <v>227.86</v>
      </c>
      <c r="AT8" s="29">
        <v>63.6</v>
      </c>
      <c r="AU8" s="3">
        <v>60.9</v>
      </c>
      <c r="AV8" s="3">
        <v>209.6</v>
      </c>
      <c r="AW8" s="351">
        <v>178.9</v>
      </c>
      <c r="AX8" s="352">
        <v>-0.02</v>
      </c>
      <c r="AY8" s="5">
        <v>26.27</v>
      </c>
      <c r="AZ8" s="5">
        <v>15.02</v>
      </c>
      <c r="BA8" s="6">
        <v>76.16</v>
      </c>
      <c r="BB8" s="29">
        <v>4.42</v>
      </c>
      <c r="BC8" s="104">
        <v>4.03</v>
      </c>
      <c r="BD8" s="104">
        <v>19.26</v>
      </c>
      <c r="BE8" s="105">
        <v>9.48</v>
      </c>
      <c r="BF8" s="103">
        <v>29.96</v>
      </c>
      <c r="BG8" s="104">
        <v>9.78</v>
      </c>
      <c r="BH8" s="104">
        <v>58.47</v>
      </c>
      <c r="BI8" s="106">
        <v>33.44</v>
      </c>
      <c r="BJ8" s="109">
        <v>0.99</v>
      </c>
      <c r="BK8" s="104">
        <v>3.84</v>
      </c>
      <c r="BL8" s="104">
        <v>4.57</v>
      </c>
      <c r="BM8" s="105">
        <v>10.48</v>
      </c>
      <c r="BN8" s="103">
        <v>3.72</v>
      </c>
      <c r="BO8" s="104">
        <v>1.78</v>
      </c>
      <c r="BP8" s="104">
        <v>12.11</v>
      </c>
      <c r="BQ8" s="106">
        <v>5.96</v>
      </c>
      <c r="BR8" s="109">
        <v>18.96</v>
      </c>
      <c r="BS8" s="104">
        <v>16.09</v>
      </c>
      <c r="BT8" s="104">
        <v>63.3</v>
      </c>
      <c r="BU8" s="105">
        <v>40.5</v>
      </c>
      <c r="BV8" s="1332"/>
      <c r="BW8" s="104"/>
      <c r="BX8" s="104"/>
      <c r="BY8" s="106"/>
      <c r="BZ8" s="110"/>
      <c r="CA8" s="111"/>
      <c r="CB8" s="111">
        <v>1</v>
      </c>
      <c r="CC8" s="1337">
        <v>1</v>
      </c>
      <c r="CD8" s="112">
        <v>7.5</v>
      </c>
      <c r="CE8" s="113">
        <v>7.34</v>
      </c>
      <c r="CF8" s="113">
        <v>22.38</v>
      </c>
      <c r="CG8" s="114">
        <v>16.58</v>
      </c>
      <c r="CH8" s="115"/>
      <c r="CI8" s="116"/>
      <c r="CJ8" s="116"/>
      <c r="CK8" s="1342"/>
      <c r="CL8" s="103">
        <v>56.97</v>
      </c>
      <c r="CM8" s="104">
        <v>42.75</v>
      </c>
      <c r="CN8" s="104">
        <v>142.84</v>
      </c>
      <c r="CO8" s="106">
        <v>155.13</v>
      </c>
      <c r="CP8" s="118">
        <f t="shared" si="2"/>
        <v>476.30000000000007</v>
      </c>
      <c r="CQ8" s="118">
        <f t="shared" si="0"/>
        <v>418.85999999999984</v>
      </c>
      <c r="CR8" s="118">
        <f t="shared" si="0"/>
        <v>1385.5199999999998</v>
      </c>
      <c r="CS8" s="118">
        <f t="shared" si="0"/>
        <v>1166.2800000000002</v>
      </c>
      <c r="CT8" s="119">
        <v>8.29</v>
      </c>
      <c r="CU8" s="116">
        <v>9.43</v>
      </c>
      <c r="CV8" s="116">
        <v>19.64</v>
      </c>
      <c r="CW8" s="117">
        <v>25.71</v>
      </c>
      <c r="CX8" s="120">
        <f t="shared" si="3"/>
        <v>484.5900000000001</v>
      </c>
      <c r="CY8" s="120">
        <f t="shared" si="1"/>
        <v>428.28999999999985</v>
      </c>
      <c r="CZ8" s="120">
        <f t="shared" si="1"/>
        <v>1405.1599999999999</v>
      </c>
      <c r="DA8" s="384">
        <f t="shared" si="1"/>
        <v>1191.9900000000002</v>
      </c>
    </row>
    <row r="9" spans="1:105" ht="17.25">
      <c r="A9" s="158" t="s">
        <v>10</v>
      </c>
      <c r="B9" s="142">
        <v>0</v>
      </c>
      <c r="C9" s="57">
        <v>0</v>
      </c>
      <c r="D9" s="57">
        <v>0</v>
      </c>
      <c r="E9" s="125">
        <v>0</v>
      </c>
      <c r="F9" s="120"/>
      <c r="G9" s="126"/>
      <c r="H9" s="126"/>
      <c r="I9" s="128"/>
      <c r="J9" s="120"/>
      <c r="K9" s="126"/>
      <c r="L9" s="126"/>
      <c r="M9" s="128"/>
      <c r="N9" s="118">
        <v>0</v>
      </c>
      <c r="O9" s="126"/>
      <c r="P9" s="126"/>
      <c r="Q9" s="127"/>
      <c r="R9" s="120"/>
      <c r="S9" s="126"/>
      <c r="T9" s="126"/>
      <c r="U9" s="128"/>
      <c r="V9" s="118"/>
      <c r="W9" s="126"/>
      <c r="X9" s="126"/>
      <c r="Y9" s="127"/>
      <c r="Z9" s="120"/>
      <c r="AA9" s="126"/>
      <c r="AB9" s="126"/>
      <c r="AC9" s="128"/>
      <c r="AD9" s="7"/>
      <c r="AE9" s="107"/>
      <c r="AF9" s="107">
        <v>0.01</v>
      </c>
      <c r="AG9" s="108">
        <v>0.01</v>
      </c>
      <c r="AH9" s="7"/>
      <c r="AI9" s="8"/>
      <c r="AJ9" s="8"/>
      <c r="AK9" s="9"/>
      <c r="AL9" s="49"/>
      <c r="AM9" s="8"/>
      <c r="AN9" s="8"/>
      <c r="AO9" s="145"/>
      <c r="AP9" s="7"/>
      <c r="AQ9" s="8"/>
      <c r="AR9" s="8"/>
      <c r="AS9" s="9"/>
      <c r="AT9" s="49"/>
      <c r="AU9" s="8"/>
      <c r="AV9" s="8"/>
      <c r="AW9" s="145"/>
      <c r="AX9" s="352"/>
      <c r="AY9" s="5"/>
      <c r="AZ9" s="5"/>
      <c r="BA9" s="6"/>
      <c r="BB9" s="49">
        <v>0</v>
      </c>
      <c r="BC9" s="126">
        <v>0</v>
      </c>
      <c r="BD9" s="126">
        <v>0</v>
      </c>
      <c r="BE9" s="127">
        <v>0</v>
      </c>
      <c r="BF9" s="1330">
        <v>0.05</v>
      </c>
      <c r="BG9" s="129">
        <v>0.02</v>
      </c>
      <c r="BH9" s="129">
        <v>0.03</v>
      </c>
      <c r="BI9" s="130">
        <v>0.03</v>
      </c>
      <c r="BJ9" s="118"/>
      <c r="BK9" s="126"/>
      <c r="BL9" s="126"/>
      <c r="BM9" s="127"/>
      <c r="BN9" s="120"/>
      <c r="BO9" s="126"/>
      <c r="BP9" s="126"/>
      <c r="BQ9" s="128"/>
      <c r="BR9" s="118"/>
      <c r="BS9" s="126"/>
      <c r="BT9" s="126"/>
      <c r="BU9" s="127"/>
      <c r="BV9" s="1332"/>
      <c r="BW9" s="104"/>
      <c r="BX9" s="104"/>
      <c r="BY9" s="106"/>
      <c r="BZ9" s="131"/>
      <c r="CA9" s="14"/>
      <c r="CB9" s="14"/>
      <c r="CC9" s="1338"/>
      <c r="CD9" s="112"/>
      <c r="CE9" s="113"/>
      <c r="CF9" s="113"/>
      <c r="CG9" s="114"/>
      <c r="CH9" s="115"/>
      <c r="CI9" s="116"/>
      <c r="CJ9" s="116"/>
      <c r="CK9" s="1342"/>
      <c r="CL9" s="120">
        <v>0.43</v>
      </c>
      <c r="CM9" s="126">
        <v>0.36</v>
      </c>
      <c r="CN9" s="126">
        <v>1.15</v>
      </c>
      <c r="CO9" s="128">
        <v>0.68</v>
      </c>
      <c r="CP9" s="118">
        <f t="shared" si="2"/>
        <v>0.48</v>
      </c>
      <c r="CQ9" s="118">
        <f t="shared" si="0"/>
        <v>0.38</v>
      </c>
      <c r="CR9" s="118">
        <f t="shared" si="0"/>
        <v>1.19</v>
      </c>
      <c r="CS9" s="118">
        <f t="shared" si="0"/>
        <v>0.7200000000000001</v>
      </c>
      <c r="CT9" s="120">
        <v>7.36</v>
      </c>
      <c r="CU9" s="126">
        <v>6.05</v>
      </c>
      <c r="CV9" s="126">
        <v>20.91</v>
      </c>
      <c r="CW9" s="128">
        <v>17.87</v>
      </c>
      <c r="CX9" s="120">
        <f t="shared" si="3"/>
        <v>7.84</v>
      </c>
      <c r="CY9" s="120">
        <f t="shared" si="1"/>
        <v>6.43</v>
      </c>
      <c r="CZ9" s="120">
        <f t="shared" si="1"/>
        <v>22.1</v>
      </c>
      <c r="DA9" s="384">
        <f t="shared" si="1"/>
        <v>18.59</v>
      </c>
    </row>
    <row r="10" spans="1:105" ht="17.25">
      <c r="A10" s="158" t="s">
        <v>18</v>
      </c>
      <c r="B10" s="382"/>
      <c r="C10" s="101"/>
      <c r="D10" s="101"/>
      <c r="E10" s="102"/>
      <c r="F10" s="103"/>
      <c r="G10" s="104"/>
      <c r="H10" s="104"/>
      <c r="I10" s="106"/>
      <c r="J10" s="103"/>
      <c r="K10" s="104"/>
      <c r="L10" s="104"/>
      <c r="M10" s="106"/>
      <c r="N10" s="109"/>
      <c r="O10" s="104"/>
      <c r="P10" s="104"/>
      <c r="Q10" s="105"/>
      <c r="R10" s="103"/>
      <c r="S10" s="104"/>
      <c r="T10" s="104"/>
      <c r="U10" s="106"/>
      <c r="V10" s="109"/>
      <c r="W10" s="104"/>
      <c r="X10" s="104"/>
      <c r="Y10" s="105"/>
      <c r="Z10" s="103"/>
      <c r="AA10" s="104"/>
      <c r="AB10" s="104"/>
      <c r="AC10" s="106"/>
      <c r="AD10" s="2"/>
      <c r="AE10" s="107"/>
      <c r="AF10" s="107"/>
      <c r="AG10" s="108"/>
      <c r="AH10" s="2"/>
      <c r="AI10" s="3"/>
      <c r="AJ10" s="3"/>
      <c r="AK10" s="4"/>
      <c r="AL10" s="29"/>
      <c r="AM10" s="3"/>
      <c r="AN10" s="3"/>
      <c r="AO10" s="351"/>
      <c r="AP10" s="2"/>
      <c r="AQ10" s="3"/>
      <c r="AR10" s="3"/>
      <c r="AS10" s="4">
        <v>-0.01</v>
      </c>
      <c r="AT10" s="29"/>
      <c r="AU10" s="3"/>
      <c r="AV10" s="3"/>
      <c r="AW10" s="351"/>
      <c r="AX10" s="2"/>
      <c r="AY10" s="3"/>
      <c r="AZ10" s="3"/>
      <c r="BA10" s="4"/>
      <c r="BB10" s="29">
        <v>0.63</v>
      </c>
      <c r="BC10" s="104">
        <v>1.16</v>
      </c>
      <c r="BD10" s="104">
        <v>2.28</v>
      </c>
      <c r="BE10" s="105">
        <v>2.09</v>
      </c>
      <c r="BF10" s="103">
        <v>84.13</v>
      </c>
      <c r="BG10" s="104">
        <v>50.36</v>
      </c>
      <c r="BH10" s="104">
        <v>178.12</v>
      </c>
      <c r="BI10" s="106">
        <v>101.38</v>
      </c>
      <c r="BJ10" s="109"/>
      <c r="BK10" s="104"/>
      <c r="BL10" s="104"/>
      <c r="BM10" s="105"/>
      <c r="BN10" s="103"/>
      <c r="BO10" s="104"/>
      <c r="BP10" s="104"/>
      <c r="BQ10" s="106"/>
      <c r="BR10" s="109"/>
      <c r="BS10" s="104"/>
      <c r="BT10" s="104"/>
      <c r="BU10" s="105"/>
      <c r="BV10" s="1332"/>
      <c r="BW10" s="104"/>
      <c r="BX10" s="104"/>
      <c r="BY10" s="106"/>
      <c r="BZ10" s="131"/>
      <c r="CA10" s="111"/>
      <c r="CB10" s="111"/>
      <c r="CC10" s="1337"/>
      <c r="CD10" s="112"/>
      <c r="CE10" s="113"/>
      <c r="CF10" s="113"/>
      <c r="CG10" s="114"/>
      <c r="CH10" s="115"/>
      <c r="CI10" s="116"/>
      <c r="CJ10" s="116"/>
      <c r="CK10" s="1342"/>
      <c r="CL10" s="103"/>
      <c r="CM10" s="104"/>
      <c r="CN10" s="104"/>
      <c r="CO10" s="106"/>
      <c r="CP10" s="118">
        <f t="shared" si="2"/>
        <v>84.75999999999999</v>
      </c>
      <c r="CQ10" s="118">
        <f t="shared" si="0"/>
        <v>51.519999999999996</v>
      </c>
      <c r="CR10" s="118">
        <f t="shared" si="0"/>
        <v>180.4</v>
      </c>
      <c r="CS10" s="118">
        <f t="shared" si="0"/>
        <v>103.46</v>
      </c>
      <c r="CT10" s="119"/>
      <c r="CU10" s="116"/>
      <c r="CV10" s="116"/>
      <c r="CW10" s="117"/>
      <c r="CX10" s="120">
        <f t="shared" si="3"/>
        <v>84.75999999999999</v>
      </c>
      <c r="CY10" s="120">
        <f t="shared" si="1"/>
        <v>51.519999999999996</v>
      </c>
      <c r="CZ10" s="120">
        <f t="shared" si="1"/>
        <v>180.4</v>
      </c>
      <c r="DA10" s="384">
        <f t="shared" si="1"/>
        <v>103.46</v>
      </c>
    </row>
    <row r="11" spans="1:105" ht="17.25">
      <c r="A11" s="158" t="s">
        <v>11</v>
      </c>
      <c r="B11" s="382">
        <v>34</v>
      </c>
      <c r="C11" s="101">
        <v>39</v>
      </c>
      <c r="D11" s="101">
        <v>90</v>
      </c>
      <c r="E11" s="102">
        <v>90</v>
      </c>
      <c r="F11" s="103">
        <v>134.07</v>
      </c>
      <c r="G11" s="104">
        <v>51.96</v>
      </c>
      <c r="H11" s="104">
        <v>98.61</v>
      </c>
      <c r="I11" s="106">
        <v>121.16</v>
      </c>
      <c r="J11" s="103">
        <v>21.25</v>
      </c>
      <c r="K11" s="104">
        <v>23.9</v>
      </c>
      <c r="L11" s="104">
        <v>51.43</v>
      </c>
      <c r="M11" s="106">
        <v>58.74</v>
      </c>
      <c r="N11" s="109">
        <v>87</v>
      </c>
      <c r="O11" s="104">
        <v>46</v>
      </c>
      <c r="P11" s="104">
        <v>198</v>
      </c>
      <c r="Q11" s="105">
        <v>116</v>
      </c>
      <c r="R11" s="103">
        <v>21.71</v>
      </c>
      <c r="S11" s="104">
        <v>31.41</v>
      </c>
      <c r="T11" s="104">
        <v>69</v>
      </c>
      <c r="U11" s="106">
        <v>78</v>
      </c>
      <c r="V11" s="109">
        <v>4.81</v>
      </c>
      <c r="W11" s="104">
        <v>1.86</v>
      </c>
      <c r="X11" s="104">
        <v>11.83</v>
      </c>
      <c r="Y11" s="105">
        <v>5.16</v>
      </c>
      <c r="Z11" s="103">
        <v>31.18</v>
      </c>
      <c r="AA11" s="104">
        <v>49.06</v>
      </c>
      <c r="AB11" s="104">
        <v>137.3</v>
      </c>
      <c r="AC11" s="106">
        <v>150.25</v>
      </c>
      <c r="AD11" s="2">
        <v>25</v>
      </c>
      <c r="AE11" s="107">
        <v>23.15</v>
      </c>
      <c r="AF11" s="107">
        <v>71</v>
      </c>
      <c r="AG11" s="108">
        <v>34.48</v>
      </c>
      <c r="AH11" s="2">
        <v>14.52</v>
      </c>
      <c r="AI11" s="3">
        <v>15.38</v>
      </c>
      <c r="AJ11" s="3">
        <v>40.86</v>
      </c>
      <c r="AK11" s="4">
        <v>37.67</v>
      </c>
      <c r="AL11" s="29">
        <v>97.97</v>
      </c>
      <c r="AM11" s="3">
        <v>74.6</v>
      </c>
      <c r="AN11" s="3">
        <v>186.92</v>
      </c>
      <c r="AO11" s="351">
        <v>150.26</v>
      </c>
      <c r="AP11" s="2">
        <v>911.9</v>
      </c>
      <c r="AQ11" s="3">
        <v>523.12</v>
      </c>
      <c r="AR11" s="3">
        <v>2367.53</v>
      </c>
      <c r="AS11" s="4">
        <v>1148.77</v>
      </c>
      <c r="AT11" s="29">
        <v>485.6</v>
      </c>
      <c r="AU11" s="3">
        <v>373.7</v>
      </c>
      <c r="AV11" s="3">
        <v>1360.7</v>
      </c>
      <c r="AW11" s="351">
        <v>1347.2</v>
      </c>
      <c r="AX11" s="2">
        <v>1.77</v>
      </c>
      <c r="AY11" s="3">
        <v>1.68</v>
      </c>
      <c r="AZ11" s="3">
        <v>5.55</v>
      </c>
      <c r="BA11" s="4">
        <v>4.8</v>
      </c>
      <c r="BB11" s="29">
        <v>2.49</v>
      </c>
      <c r="BC11" s="104">
        <v>4.28</v>
      </c>
      <c r="BD11" s="104">
        <v>9.51</v>
      </c>
      <c r="BE11" s="105">
        <v>10.73</v>
      </c>
      <c r="BF11" s="103">
        <v>1.43</v>
      </c>
      <c r="BG11" s="104">
        <v>0.92</v>
      </c>
      <c r="BH11" s="104">
        <v>5.62</v>
      </c>
      <c r="BI11" s="106">
        <v>0.92</v>
      </c>
      <c r="BJ11" s="109">
        <v>180.99</v>
      </c>
      <c r="BK11" s="104">
        <v>123.12</v>
      </c>
      <c r="BL11" s="104">
        <v>534.83</v>
      </c>
      <c r="BM11" s="105">
        <v>397.33</v>
      </c>
      <c r="BN11" s="103">
        <v>143.76</v>
      </c>
      <c r="BO11" s="104">
        <v>125.49</v>
      </c>
      <c r="BP11" s="104">
        <v>405.01</v>
      </c>
      <c r="BQ11" s="106">
        <v>369.75</v>
      </c>
      <c r="BR11" s="109">
        <v>77.52</v>
      </c>
      <c r="BS11" s="104">
        <v>59.07</v>
      </c>
      <c r="BT11" s="104">
        <v>243.73</v>
      </c>
      <c r="BU11" s="105">
        <v>175.54</v>
      </c>
      <c r="BV11" s="1332"/>
      <c r="BW11" s="104"/>
      <c r="BX11" s="104"/>
      <c r="BY11" s="106"/>
      <c r="BZ11" s="110">
        <v>22</v>
      </c>
      <c r="CA11" s="111">
        <v>28</v>
      </c>
      <c r="CB11" s="111">
        <v>72</v>
      </c>
      <c r="CC11" s="1337">
        <v>68</v>
      </c>
      <c r="CD11" s="112">
        <v>71.55</v>
      </c>
      <c r="CE11" s="113">
        <v>60</v>
      </c>
      <c r="CF11" s="113">
        <v>189.13</v>
      </c>
      <c r="CG11" s="114">
        <v>155.07</v>
      </c>
      <c r="CH11" s="115">
        <v>1.58</v>
      </c>
      <c r="CI11" s="116">
        <v>4.72</v>
      </c>
      <c r="CJ11" s="116">
        <v>8.56</v>
      </c>
      <c r="CK11" s="1342">
        <v>19.87</v>
      </c>
      <c r="CL11" s="103">
        <v>46.29</v>
      </c>
      <c r="CM11" s="104">
        <v>27.15</v>
      </c>
      <c r="CN11" s="104">
        <v>97.77</v>
      </c>
      <c r="CO11" s="106">
        <v>79.78</v>
      </c>
      <c r="CP11" s="118">
        <f t="shared" si="2"/>
        <v>2418.39</v>
      </c>
      <c r="CQ11" s="118">
        <f t="shared" si="0"/>
        <v>1687.5700000000004</v>
      </c>
      <c r="CR11" s="118">
        <f t="shared" si="0"/>
        <v>6254.890000000001</v>
      </c>
      <c r="CS11" s="118">
        <f t="shared" si="0"/>
        <v>4619.479999999999</v>
      </c>
      <c r="CT11" s="119">
        <v>248.77</v>
      </c>
      <c r="CU11" s="116">
        <v>32.78</v>
      </c>
      <c r="CV11" s="116">
        <v>772.86</v>
      </c>
      <c r="CW11" s="117">
        <v>845.16</v>
      </c>
      <c r="CX11" s="120">
        <f t="shared" si="3"/>
        <v>2667.16</v>
      </c>
      <c r="CY11" s="120">
        <f t="shared" si="1"/>
        <v>1720.3500000000004</v>
      </c>
      <c r="CZ11" s="120">
        <f t="shared" si="1"/>
        <v>7027.750000000001</v>
      </c>
      <c r="DA11" s="384">
        <f t="shared" si="1"/>
        <v>5464.6399999999985</v>
      </c>
    </row>
    <row r="12" spans="1:105" ht="17.25">
      <c r="A12" s="158" t="s">
        <v>19</v>
      </c>
      <c r="B12" s="382"/>
      <c r="C12" s="101"/>
      <c r="D12" s="101"/>
      <c r="E12" s="102"/>
      <c r="F12" s="103"/>
      <c r="G12" s="104"/>
      <c r="H12" s="104"/>
      <c r="I12" s="106"/>
      <c r="J12" s="103"/>
      <c r="K12" s="104"/>
      <c r="L12" s="104"/>
      <c r="M12" s="106"/>
      <c r="N12" s="109"/>
      <c r="O12" s="104"/>
      <c r="P12" s="104"/>
      <c r="Q12" s="105"/>
      <c r="R12" s="103"/>
      <c r="S12" s="104"/>
      <c r="T12" s="104"/>
      <c r="U12" s="106"/>
      <c r="V12" s="109"/>
      <c r="W12" s="104"/>
      <c r="X12" s="104"/>
      <c r="Y12" s="105"/>
      <c r="Z12" s="777"/>
      <c r="AA12" s="104"/>
      <c r="AB12" s="104"/>
      <c r="AC12" s="106"/>
      <c r="AD12" s="2"/>
      <c r="AE12" s="107"/>
      <c r="AF12" s="107"/>
      <c r="AG12" s="108"/>
      <c r="AH12" s="2">
        <v>0.18</v>
      </c>
      <c r="AI12" s="3"/>
      <c r="AJ12" s="3">
        <v>0.22</v>
      </c>
      <c r="AK12" s="4"/>
      <c r="AL12" s="29"/>
      <c r="AM12" s="3"/>
      <c r="AN12" s="3"/>
      <c r="AO12" s="351"/>
      <c r="AP12" s="2"/>
      <c r="AQ12" s="3"/>
      <c r="AR12" s="3"/>
      <c r="AS12" s="4"/>
      <c r="AT12" s="29"/>
      <c r="AU12" s="3"/>
      <c r="AV12" s="3"/>
      <c r="AW12" s="351"/>
      <c r="AX12" s="2"/>
      <c r="AY12" s="3"/>
      <c r="AZ12" s="3"/>
      <c r="BA12" s="4"/>
      <c r="BB12" s="29"/>
      <c r="BC12" s="104"/>
      <c r="BD12" s="104"/>
      <c r="BE12" s="105"/>
      <c r="BF12" s="103"/>
      <c r="BG12" s="104"/>
      <c r="BH12" s="104"/>
      <c r="BI12" s="106"/>
      <c r="BJ12" s="109"/>
      <c r="BK12" s="104">
        <v>0.03</v>
      </c>
      <c r="BL12" s="104">
        <v>0.08</v>
      </c>
      <c r="BM12" s="105">
        <v>0.03</v>
      </c>
      <c r="BN12" s="103"/>
      <c r="BO12" s="104"/>
      <c r="BP12" s="104"/>
      <c r="BQ12" s="106"/>
      <c r="BR12" s="109"/>
      <c r="BS12" s="104"/>
      <c r="BT12" s="104"/>
      <c r="BU12" s="105"/>
      <c r="BV12" s="1332"/>
      <c r="BW12" s="104"/>
      <c r="BX12" s="104"/>
      <c r="BY12" s="106"/>
      <c r="BZ12" s="110"/>
      <c r="CA12" s="111"/>
      <c r="CB12" s="111"/>
      <c r="CC12" s="1337"/>
      <c r="CD12" s="112"/>
      <c r="CE12" s="113"/>
      <c r="CF12" s="113"/>
      <c r="CG12" s="114"/>
      <c r="CH12" s="115"/>
      <c r="CI12" s="116"/>
      <c r="CJ12" s="116"/>
      <c r="CK12" s="1342"/>
      <c r="CL12" s="103"/>
      <c r="CM12" s="104"/>
      <c r="CN12" s="104"/>
      <c r="CO12" s="106"/>
      <c r="CP12" s="118">
        <f t="shared" si="2"/>
        <v>0.18</v>
      </c>
      <c r="CQ12" s="118">
        <f t="shared" si="0"/>
        <v>0.03</v>
      </c>
      <c r="CR12" s="118">
        <f t="shared" si="0"/>
        <v>0.3</v>
      </c>
      <c r="CS12" s="118">
        <f t="shared" si="0"/>
        <v>0.03</v>
      </c>
      <c r="CT12" s="119"/>
      <c r="CU12" s="116"/>
      <c r="CV12" s="116"/>
      <c r="CW12" s="117"/>
      <c r="CX12" s="120">
        <f t="shared" si="3"/>
        <v>0.18</v>
      </c>
      <c r="CY12" s="120">
        <f t="shared" si="1"/>
        <v>0.03</v>
      </c>
      <c r="CZ12" s="120">
        <f t="shared" si="1"/>
        <v>0.3</v>
      </c>
      <c r="DA12" s="384">
        <f t="shared" si="1"/>
        <v>0.03</v>
      </c>
    </row>
    <row r="13" spans="1:105" ht="17.25">
      <c r="A13" s="158" t="s">
        <v>20</v>
      </c>
      <c r="B13" s="382"/>
      <c r="C13" s="101"/>
      <c r="D13" s="101"/>
      <c r="E13" s="102"/>
      <c r="F13" s="103"/>
      <c r="G13" s="104"/>
      <c r="H13" s="104"/>
      <c r="I13" s="106"/>
      <c r="J13" s="103"/>
      <c r="K13" s="104"/>
      <c r="L13" s="104"/>
      <c r="M13" s="106"/>
      <c r="N13" s="109"/>
      <c r="O13" s="104"/>
      <c r="P13" s="104"/>
      <c r="Q13" s="105"/>
      <c r="R13" s="103"/>
      <c r="S13" s="104"/>
      <c r="T13" s="104"/>
      <c r="U13" s="106"/>
      <c r="V13" s="109"/>
      <c r="W13" s="104"/>
      <c r="X13" s="104"/>
      <c r="Y13" s="105"/>
      <c r="Z13" s="103"/>
      <c r="AA13" s="104"/>
      <c r="AB13" s="104"/>
      <c r="AC13" s="106"/>
      <c r="AD13" s="2"/>
      <c r="AE13" s="107"/>
      <c r="AF13" s="107"/>
      <c r="AG13" s="108"/>
      <c r="AH13" s="2">
        <v>0.08</v>
      </c>
      <c r="AI13" s="3"/>
      <c r="AJ13" s="3">
        <v>0.69</v>
      </c>
      <c r="AK13" s="4">
        <v>0.05</v>
      </c>
      <c r="AL13" s="29"/>
      <c r="AM13" s="3"/>
      <c r="AN13" s="3"/>
      <c r="AO13" s="351"/>
      <c r="AP13" s="2">
        <v>0.42</v>
      </c>
      <c r="AQ13" s="3">
        <v>1.76</v>
      </c>
      <c r="AR13" s="3">
        <v>1.17</v>
      </c>
      <c r="AS13" s="4">
        <v>3.05</v>
      </c>
      <c r="AT13" s="29">
        <v>1.9</v>
      </c>
      <c r="AU13" s="3">
        <v>0.5</v>
      </c>
      <c r="AV13" s="3">
        <v>4</v>
      </c>
      <c r="AW13" s="351">
        <v>1.2</v>
      </c>
      <c r="AX13" s="2"/>
      <c r="AY13" s="3"/>
      <c r="AZ13" s="3"/>
      <c r="BA13" s="4"/>
      <c r="BB13" s="29"/>
      <c r="BC13" s="104"/>
      <c r="BD13" s="104"/>
      <c r="BE13" s="105"/>
      <c r="BF13" s="103"/>
      <c r="BG13" s="104"/>
      <c r="BH13" s="104"/>
      <c r="BI13" s="106"/>
      <c r="BJ13" s="109"/>
      <c r="BK13" s="104"/>
      <c r="BL13" s="104"/>
      <c r="BM13" s="105"/>
      <c r="BN13" s="103"/>
      <c r="BO13" s="104"/>
      <c r="BP13" s="104"/>
      <c r="BQ13" s="106"/>
      <c r="BR13" s="109"/>
      <c r="BS13" s="104"/>
      <c r="BT13" s="104"/>
      <c r="BU13" s="105"/>
      <c r="BV13" s="1332"/>
      <c r="BW13" s="104"/>
      <c r="BX13" s="104"/>
      <c r="BY13" s="106"/>
      <c r="BZ13" s="110"/>
      <c r="CA13" s="111"/>
      <c r="CB13" s="111"/>
      <c r="CC13" s="1337"/>
      <c r="CD13" s="112"/>
      <c r="CE13" s="113"/>
      <c r="CF13" s="113"/>
      <c r="CG13" s="114"/>
      <c r="CH13" s="115"/>
      <c r="CI13" s="116"/>
      <c r="CJ13" s="116"/>
      <c r="CK13" s="1342"/>
      <c r="CL13" s="103"/>
      <c r="CM13" s="104"/>
      <c r="CN13" s="104"/>
      <c r="CO13" s="106"/>
      <c r="CP13" s="118">
        <f t="shared" si="2"/>
        <v>2.4</v>
      </c>
      <c r="CQ13" s="118">
        <f t="shared" si="0"/>
        <v>2.26</v>
      </c>
      <c r="CR13" s="118">
        <f t="shared" si="0"/>
        <v>5.859999999999999</v>
      </c>
      <c r="CS13" s="118">
        <f t="shared" si="0"/>
        <v>4.3</v>
      </c>
      <c r="CT13" s="119">
        <v>3.07</v>
      </c>
      <c r="CU13" s="116">
        <v>2.98</v>
      </c>
      <c r="CV13" s="116">
        <v>10.65</v>
      </c>
      <c r="CW13" s="117">
        <v>7.7</v>
      </c>
      <c r="CX13" s="120">
        <f t="shared" si="3"/>
        <v>5.47</v>
      </c>
      <c r="CY13" s="120">
        <f t="shared" si="1"/>
        <v>5.24</v>
      </c>
      <c r="CZ13" s="120">
        <f t="shared" si="1"/>
        <v>16.509999999999998</v>
      </c>
      <c r="DA13" s="384">
        <f t="shared" si="1"/>
        <v>12</v>
      </c>
    </row>
    <row r="14" spans="1:105" ht="17.25">
      <c r="A14" s="158" t="s">
        <v>320</v>
      </c>
      <c r="B14" s="382"/>
      <c r="C14" s="101"/>
      <c r="D14" s="101"/>
      <c r="E14" s="102"/>
      <c r="F14" s="103"/>
      <c r="G14" s="104"/>
      <c r="H14" s="104"/>
      <c r="I14" s="106"/>
      <c r="J14" s="103"/>
      <c r="K14" s="104"/>
      <c r="L14" s="104"/>
      <c r="M14" s="106"/>
      <c r="N14" s="109">
        <v>58</v>
      </c>
      <c r="O14" s="104">
        <v>25</v>
      </c>
      <c r="P14" s="104">
        <v>157</v>
      </c>
      <c r="Q14" s="105">
        <v>60</v>
      </c>
      <c r="R14" s="103"/>
      <c r="S14" s="104"/>
      <c r="T14" s="104"/>
      <c r="U14" s="106"/>
      <c r="V14" s="109"/>
      <c r="W14" s="104"/>
      <c r="X14" s="104"/>
      <c r="Y14" s="105"/>
      <c r="Z14" s="103"/>
      <c r="AA14" s="104"/>
      <c r="AB14" s="104"/>
      <c r="AC14" s="106"/>
      <c r="AD14" s="2"/>
      <c r="AE14" s="107"/>
      <c r="AF14" s="107"/>
      <c r="AG14" s="108"/>
      <c r="AH14" s="2"/>
      <c r="AI14" s="3"/>
      <c r="AJ14" s="3"/>
      <c r="AK14" s="4"/>
      <c r="AL14" s="29"/>
      <c r="AM14" s="3"/>
      <c r="AN14" s="3"/>
      <c r="AO14" s="351"/>
      <c r="AP14" s="2"/>
      <c r="AQ14" s="3"/>
      <c r="AR14" s="3"/>
      <c r="AS14" s="4"/>
      <c r="AT14" s="29">
        <v>19</v>
      </c>
      <c r="AU14" s="3">
        <v>12.9</v>
      </c>
      <c r="AV14" s="3">
        <v>59.5</v>
      </c>
      <c r="AW14" s="351">
        <v>44.5</v>
      </c>
      <c r="AX14" s="2"/>
      <c r="AY14" s="3"/>
      <c r="AZ14" s="3"/>
      <c r="BA14" s="4"/>
      <c r="BB14" s="29"/>
      <c r="BC14" s="104"/>
      <c r="BD14" s="104"/>
      <c r="BE14" s="105"/>
      <c r="BF14" s="103"/>
      <c r="BG14" s="104"/>
      <c r="BH14" s="104"/>
      <c r="BI14" s="106"/>
      <c r="BJ14" s="109"/>
      <c r="BK14" s="104"/>
      <c r="BL14" s="104"/>
      <c r="BM14" s="105"/>
      <c r="BN14" s="103"/>
      <c r="BO14" s="104"/>
      <c r="BP14" s="104"/>
      <c r="BQ14" s="106"/>
      <c r="BR14" s="109"/>
      <c r="BS14" s="104"/>
      <c r="BT14" s="104"/>
      <c r="BU14" s="105"/>
      <c r="BV14" s="1332"/>
      <c r="BW14" s="104"/>
      <c r="BX14" s="104"/>
      <c r="BY14" s="106"/>
      <c r="BZ14" s="110"/>
      <c r="CA14" s="111"/>
      <c r="CB14" s="111"/>
      <c r="CC14" s="1337"/>
      <c r="CD14" s="112"/>
      <c r="CE14" s="113"/>
      <c r="CF14" s="113"/>
      <c r="CG14" s="114"/>
      <c r="CH14" s="115"/>
      <c r="CI14" s="116"/>
      <c r="CJ14" s="116"/>
      <c r="CK14" s="1342"/>
      <c r="CL14" s="103"/>
      <c r="CM14" s="104"/>
      <c r="CN14" s="104"/>
      <c r="CO14" s="106"/>
      <c r="CP14" s="118">
        <f t="shared" si="2"/>
        <v>77</v>
      </c>
      <c r="CQ14" s="118">
        <f t="shared" si="0"/>
        <v>37.9</v>
      </c>
      <c r="CR14" s="118">
        <f t="shared" si="0"/>
        <v>216.5</v>
      </c>
      <c r="CS14" s="118">
        <f t="shared" si="0"/>
        <v>104.5</v>
      </c>
      <c r="CT14" s="119"/>
      <c r="CU14" s="116"/>
      <c r="CV14" s="116"/>
      <c r="CW14" s="117"/>
      <c r="CX14" s="120">
        <f t="shared" si="3"/>
        <v>77</v>
      </c>
      <c r="CY14" s="120">
        <f t="shared" si="1"/>
        <v>37.9</v>
      </c>
      <c r="CZ14" s="120">
        <f t="shared" si="1"/>
        <v>216.5</v>
      </c>
      <c r="DA14" s="384">
        <f t="shared" si="1"/>
        <v>104.5</v>
      </c>
    </row>
    <row r="15" spans="1:105" ht="18" thickBot="1">
      <c r="A15" s="385" t="s">
        <v>22</v>
      </c>
      <c r="B15" s="417"/>
      <c r="C15" s="418"/>
      <c r="D15" s="418"/>
      <c r="E15" s="419"/>
      <c r="F15" s="386"/>
      <c r="G15" s="387"/>
      <c r="H15" s="387"/>
      <c r="I15" s="389"/>
      <c r="J15" s="386"/>
      <c r="K15" s="387"/>
      <c r="L15" s="387"/>
      <c r="M15" s="389"/>
      <c r="N15" s="390"/>
      <c r="O15" s="387"/>
      <c r="P15" s="387"/>
      <c r="Q15" s="388"/>
      <c r="R15" s="386"/>
      <c r="S15" s="387"/>
      <c r="T15" s="387"/>
      <c r="U15" s="389"/>
      <c r="V15" s="390"/>
      <c r="W15" s="387"/>
      <c r="X15" s="387"/>
      <c r="Y15" s="388"/>
      <c r="Z15" s="386"/>
      <c r="AA15" s="387"/>
      <c r="AB15" s="387"/>
      <c r="AC15" s="389"/>
      <c r="AD15" s="420"/>
      <c r="AE15" s="421"/>
      <c r="AF15" s="421"/>
      <c r="AG15" s="422"/>
      <c r="AH15" s="420"/>
      <c r="AI15" s="424"/>
      <c r="AJ15" s="424"/>
      <c r="AK15" s="425"/>
      <c r="AL15" s="423"/>
      <c r="AM15" s="424"/>
      <c r="AN15" s="424"/>
      <c r="AO15" s="1327"/>
      <c r="AP15" s="420">
        <v>23.22</v>
      </c>
      <c r="AQ15" s="424"/>
      <c r="AR15" s="424">
        <v>61.52</v>
      </c>
      <c r="AS15" s="425"/>
      <c r="AT15" s="423">
        <v>10.8</v>
      </c>
      <c r="AU15" s="424">
        <v>7.8</v>
      </c>
      <c r="AV15" s="424">
        <v>31</v>
      </c>
      <c r="AW15" s="1327">
        <v>24.5</v>
      </c>
      <c r="AX15" s="420"/>
      <c r="AY15" s="424"/>
      <c r="AZ15" s="424"/>
      <c r="BA15" s="425"/>
      <c r="BB15" s="423"/>
      <c r="BC15" s="387"/>
      <c r="BD15" s="387"/>
      <c r="BE15" s="388"/>
      <c r="BF15" s="386"/>
      <c r="BG15" s="387"/>
      <c r="BH15" s="387"/>
      <c r="BI15" s="389"/>
      <c r="BJ15" s="390"/>
      <c r="BK15" s="387"/>
      <c r="BL15" s="387"/>
      <c r="BM15" s="388"/>
      <c r="BN15" s="386"/>
      <c r="BO15" s="387"/>
      <c r="BP15" s="387"/>
      <c r="BQ15" s="389"/>
      <c r="BR15" s="390"/>
      <c r="BS15" s="387"/>
      <c r="BT15" s="387"/>
      <c r="BU15" s="388"/>
      <c r="BV15" s="1333"/>
      <c r="BW15" s="387"/>
      <c r="BX15" s="387"/>
      <c r="BY15" s="389"/>
      <c r="BZ15" s="426"/>
      <c r="CA15" s="427"/>
      <c r="CB15" s="427"/>
      <c r="CC15" s="1339"/>
      <c r="CD15" s="391"/>
      <c r="CE15" s="392"/>
      <c r="CF15" s="392"/>
      <c r="CG15" s="393"/>
      <c r="CH15" s="394"/>
      <c r="CI15" s="395"/>
      <c r="CJ15" s="395"/>
      <c r="CK15" s="1343"/>
      <c r="CL15" s="386"/>
      <c r="CM15" s="387"/>
      <c r="CN15" s="387"/>
      <c r="CO15" s="389"/>
      <c r="CP15" s="397">
        <f t="shared" si="2"/>
        <v>34.019999999999996</v>
      </c>
      <c r="CQ15" s="397">
        <f t="shared" si="0"/>
        <v>7.8</v>
      </c>
      <c r="CR15" s="397">
        <f t="shared" si="0"/>
        <v>92.52000000000001</v>
      </c>
      <c r="CS15" s="397">
        <f t="shared" si="0"/>
        <v>24.5</v>
      </c>
      <c r="CT15" s="398"/>
      <c r="CU15" s="395"/>
      <c r="CV15" s="395"/>
      <c r="CW15" s="396"/>
      <c r="CX15" s="399">
        <f t="shared" si="3"/>
        <v>34.019999999999996</v>
      </c>
      <c r="CY15" s="399">
        <f t="shared" si="1"/>
        <v>7.8</v>
      </c>
      <c r="CZ15" s="399">
        <f t="shared" si="1"/>
        <v>92.52000000000001</v>
      </c>
      <c r="DA15" s="400">
        <f t="shared" si="1"/>
        <v>24.5</v>
      </c>
    </row>
    <row r="16" spans="1:105" s="900" customFormat="1" ht="18.75" thickBot="1">
      <c r="A16" s="891" t="s">
        <v>23</v>
      </c>
      <c r="B16" s="892">
        <f>SUM(B5:B15)</f>
        <v>691</v>
      </c>
      <c r="C16" s="892">
        <f aca="true" t="shared" si="4" ref="C16:BN16">SUM(C5:C15)</f>
        <v>491</v>
      </c>
      <c r="D16" s="892">
        <f t="shared" si="4"/>
        <v>1798</v>
      </c>
      <c r="E16" s="893">
        <f t="shared" si="4"/>
        <v>1152</v>
      </c>
      <c r="F16" s="894">
        <f t="shared" si="4"/>
        <v>166.29999999999998</v>
      </c>
      <c r="G16" s="892">
        <f t="shared" si="4"/>
        <v>55.56</v>
      </c>
      <c r="H16" s="892">
        <f t="shared" si="4"/>
        <v>102.55</v>
      </c>
      <c r="I16" s="895">
        <f t="shared" si="4"/>
        <v>133.88</v>
      </c>
      <c r="J16" s="894">
        <f t="shared" si="4"/>
        <v>79.69</v>
      </c>
      <c r="K16" s="892">
        <f t="shared" si="4"/>
        <v>93.19999999999999</v>
      </c>
      <c r="L16" s="892">
        <f t="shared" si="4"/>
        <v>175</v>
      </c>
      <c r="M16" s="895">
        <f t="shared" si="4"/>
        <v>197.65</v>
      </c>
      <c r="N16" s="892">
        <f t="shared" si="4"/>
        <v>711</v>
      </c>
      <c r="O16" s="892">
        <f t="shared" si="4"/>
        <v>493</v>
      </c>
      <c r="P16" s="892">
        <f t="shared" si="4"/>
        <v>1802</v>
      </c>
      <c r="Q16" s="893">
        <f t="shared" si="4"/>
        <v>1457</v>
      </c>
      <c r="R16" s="894">
        <f t="shared" si="4"/>
        <v>226.71</v>
      </c>
      <c r="S16" s="892">
        <f t="shared" si="4"/>
        <v>199.42999999999998</v>
      </c>
      <c r="T16" s="892">
        <f t="shared" si="4"/>
        <v>645</v>
      </c>
      <c r="U16" s="895">
        <f t="shared" si="4"/>
        <v>467</v>
      </c>
      <c r="V16" s="892">
        <f t="shared" si="4"/>
        <v>366.74</v>
      </c>
      <c r="W16" s="892">
        <f t="shared" si="4"/>
        <v>278.81</v>
      </c>
      <c r="X16" s="892">
        <f t="shared" si="4"/>
        <v>967.0200000000001</v>
      </c>
      <c r="Y16" s="893">
        <f t="shared" si="4"/>
        <v>830.65</v>
      </c>
      <c r="Z16" s="894">
        <f t="shared" si="4"/>
        <v>64.1</v>
      </c>
      <c r="AA16" s="892">
        <f t="shared" si="4"/>
        <v>128.31</v>
      </c>
      <c r="AB16" s="892">
        <f t="shared" si="4"/>
        <v>312.66</v>
      </c>
      <c r="AC16" s="895">
        <f t="shared" si="4"/>
        <v>358.18000000000006</v>
      </c>
      <c r="AD16" s="894">
        <f t="shared" si="4"/>
        <v>142</v>
      </c>
      <c r="AE16" s="892">
        <f t="shared" si="4"/>
        <v>136.44</v>
      </c>
      <c r="AF16" s="892">
        <f t="shared" si="4"/>
        <v>353.88</v>
      </c>
      <c r="AG16" s="895">
        <f t="shared" si="4"/>
        <v>267.09999999999997</v>
      </c>
      <c r="AH16" s="894">
        <f t="shared" si="4"/>
        <v>263.56</v>
      </c>
      <c r="AI16" s="892">
        <f t="shared" si="4"/>
        <v>235.06</v>
      </c>
      <c r="AJ16" s="892">
        <f t="shared" si="4"/>
        <v>691.46</v>
      </c>
      <c r="AK16" s="895">
        <f t="shared" si="4"/>
        <v>613.67</v>
      </c>
      <c r="AL16" s="892">
        <f t="shared" si="4"/>
        <v>185.54</v>
      </c>
      <c r="AM16" s="892">
        <f t="shared" si="4"/>
        <v>126.58999999999999</v>
      </c>
      <c r="AN16" s="892">
        <f t="shared" si="4"/>
        <v>380.6</v>
      </c>
      <c r="AO16" s="893">
        <f t="shared" si="4"/>
        <v>285.9</v>
      </c>
      <c r="AP16" s="894">
        <f t="shared" si="4"/>
        <v>2667.15</v>
      </c>
      <c r="AQ16" s="892">
        <f t="shared" si="4"/>
        <v>2453.48</v>
      </c>
      <c r="AR16" s="892">
        <f t="shared" si="4"/>
        <v>7644.85</v>
      </c>
      <c r="AS16" s="895">
        <f t="shared" si="4"/>
        <v>5943.5199999999995</v>
      </c>
      <c r="AT16" s="892">
        <f t="shared" si="4"/>
        <v>2662.6</v>
      </c>
      <c r="AU16" s="892">
        <f t="shared" si="4"/>
        <v>2404.7000000000003</v>
      </c>
      <c r="AV16" s="892">
        <f t="shared" si="4"/>
        <v>8140.099999999999</v>
      </c>
      <c r="AW16" s="893">
        <f t="shared" si="4"/>
        <v>8401.9</v>
      </c>
      <c r="AX16" s="894">
        <f t="shared" si="4"/>
        <v>231.38</v>
      </c>
      <c r="AY16" s="892">
        <f t="shared" si="4"/>
        <v>243.01000000000002</v>
      </c>
      <c r="AZ16" s="892">
        <f t="shared" si="4"/>
        <v>644.2499999999999</v>
      </c>
      <c r="BA16" s="895">
        <f t="shared" si="4"/>
        <v>731.8799999999999</v>
      </c>
      <c r="BB16" s="892">
        <f t="shared" si="4"/>
        <v>276.35</v>
      </c>
      <c r="BC16" s="892">
        <f t="shared" si="4"/>
        <v>220.54999999999998</v>
      </c>
      <c r="BD16" s="892">
        <f t="shared" si="4"/>
        <v>700.5799999999999</v>
      </c>
      <c r="BE16" s="893">
        <f t="shared" si="4"/>
        <v>607.08</v>
      </c>
      <c r="BF16" s="894">
        <f t="shared" si="4"/>
        <v>986.52</v>
      </c>
      <c r="BG16" s="892">
        <f t="shared" si="4"/>
        <v>933.29</v>
      </c>
      <c r="BH16" s="892">
        <f t="shared" si="4"/>
        <v>2130.9</v>
      </c>
      <c r="BI16" s="895">
        <f t="shared" si="4"/>
        <v>1971.8200000000002</v>
      </c>
      <c r="BJ16" s="892">
        <f t="shared" si="4"/>
        <v>1930.41</v>
      </c>
      <c r="BK16" s="892">
        <f t="shared" si="4"/>
        <v>1586.76</v>
      </c>
      <c r="BL16" s="892">
        <f t="shared" si="4"/>
        <v>4746.7</v>
      </c>
      <c r="BM16" s="893">
        <f t="shared" si="4"/>
        <v>3983.96</v>
      </c>
      <c r="BN16" s="894">
        <f t="shared" si="4"/>
        <v>506.06</v>
      </c>
      <c r="BO16" s="892">
        <f aca="true" t="shared" si="5" ref="BO16:CO16">SUM(BO5:BO15)</f>
        <v>447.89</v>
      </c>
      <c r="BP16" s="892">
        <f t="shared" si="5"/>
        <v>1393.65</v>
      </c>
      <c r="BQ16" s="895">
        <f t="shared" si="5"/>
        <v>1254.5</v>
      </c>
      <c r="BR16" s="892">
        <f t="shared" si="5"/>
        <v>270.62</v>
      </c>
      <c r="BS16" s="892">
        <f t="shared" si="5"/>
        <v>263.94</v>
      </c>
      <c r="BT16" s="892">
        <f t="shared" si="5"/>
        <v>902.09</v>
      </c>
      <c r="BU16" s="893">
        <f t="shared" si="5"/>
        <v>744.1899999999999</v>
      </c>
      <c r="BV16" s="894">
        <f t="shared" si="5"/>
        <v>0</v>
      </c>
      <c r="BW16" s="892">
        <f t="shared" si="5"/>
        <v>0</v>
      </c>
      <c r="BX16" s="892">
        <f t="shared" si="5"/>
        <v>0</v>
      </c>
      <c r="BY16" s="895">
        <f t="shared" si="5"/>
        <v>0</v>
      </c>
      <c r="BZ16" s="892">
        <f t="shared" si="5"/>
        <v>3039</v>
      </c>
      <c r="CA16" s="892">
        <f t="shared" si="5"/>
        <v>2618</v>
      </c>
      <c r="CB16" s="892">
        <f t="shared" si="5"/>
        <v>9637</v>
      </c>
      <c r="CC16" s="893">
        <f t="shared" si="5"/>
        <v>8407</v>
      </c>
      <c r="CD16" s="894">
        <f t="shared" si="5"/>
        <v>176.81</v>
      </c>
      <c r="CE16" s="892">
        <f t="shared" si="5"/>
        <v>158.95</v>
      </c>
      <c r="CF16" s="892">
        <f t="shared" si="5"/>
        <v>507.96</v>
      </c>
      <c r="CG16" s="895">
        <f t="shared" si="5"/>
        <v>465.28</v>
      </c>
      <c r="CH16" s="892">
        <f t="shared" si="5"/>
        <v>226.09</v>
      </c>
      <c r="CI16" s="892">
        <f t="shared" si="5"/>
        <v>215.08</v>
      </c>
      <c r="CJ16" s="892">
        <f t="shared" si="5"/>
        <v>608.55</v>
      </c>
      <c r="CK16" s="893">
        <f t="shared" si="5"/>
        <v>642.79</v>
      </c>
      <c r="CL16" s="894">
        <f t="shared" si="5"/>
        <v>1042.5500000000002</v>
      </c>
      <c r="CM16" s="892">
        <f t="shared" si="5"/>
        <v>616.01</v>
      </c>
      <c r="CN16" s="892">
        <f t="shared" si="5"/>
        <v>2351.38</v>
      </c>
      <c r="CO16" s="895">
        <f t="shared" si="5"/>
        <v>1402.7800000000002</v>
      </c>
      <c r="CP16" s="896">
        <f t="shared" si="2"/>
        <v>16912.18</v>
      </c>
      <c r="CQ16" s="896">
        <f t="shared" si="0"/>
        <v>14399.060000000001</v>
      </c>
      <c r="CR16" s="896">
        <f t="shared" si="0"/>
        <v>46636.18</v>
      </c>
      <c r="CS16" s="896">
        <f t="shared" si="0"/>
        <v>40319.729999999996</v>
      </c>
      <c r="CT16" s="897">
        <f>SUM(CT5:CT15)</f>
        <v>17548.29</v>
      </c>
      <c r="CU16" s="897">
        <f>SUM(CU5:CU15)</f>
        <v>14983.929999999998</v>
      </c>
      <c r="CV16" s="897">
        <f>SUM(CV5:CV15)</f>
        <v>51026.100000000006</v>
      </c>
      <c r="CW16" s="897">
        <f>SUM(CW5:CW15)</f>
        <v>51773.950000000004</v>
      </c>
      <c r="CX16" s="898">
        <f t="shared" si="3"/>
        <v>34460.47</v>
      </c>
      <c r="CY16" s="898">
        <f t="shared" si="1"/>
        <v>29382.989999999998</v>
      </c>
      <c r="CZ16" s="898">
        <f t="shared" si="1"/>
        <v>97662.28</v>
      </c>
      <c r="DA16" s="899">
        <f t="shared" si="1"/>
        <v>92093.68</v>
      </c>
    </row>
    <row r="17" spans="1:105" ht="18" thickBot="1">
      <c r="A17" s="428" t="s">
        <v>14</v>
      </c>
      <c r="B17" s="429"/>
      <c r="C17" s="430"/>
      <c r="D17" s="430"/>
      <c r="E17" s="431"/>
      <c r="F17" s="401"/>
      <c r="G17" s="402"/>
      <c r="H17" s="402">
        <v>-0.02</v>
      </c>
      <c r="I17" s="404">
        <v>-0.05</v>
      </c>
      <c r="J17" s="401">
        <v>-0.06</v>
      </c>
      <c r="K17" s="402"/>
      <c r="L17" s="402">
        <v>0.16</v>
      </c>
      <c r="M17" s="404">
        <v>0.13</v>
      </c>
      <c r="N17" s="405"/>
      <c r="O17" s="402"/>
      <c r="P17" s="402"/>
      <c r="Q17" s="403"/>
      <c r="R17" s="401"/>
      <c r="S17" s="402"/>
      <c r="T17" s="402"/>
      <c r="U17" s="404"/>
      <c r="V17" s="405"/>
      <c r="W17" s="402"/>
      <c r="X17" s="402"/>
      <c r="Y17" s="403"/>
      <c r="Z17" s="401">
        <v>0.54</v>
      </c>
      <c r="AA17" s="402">
        <v>1.32</v>
      </c>
      <c r="AB17" s="402">
        <v>2.51</v>
      </c>
      <c r="AC17" s="404">
        <v>3.91</v>
      </c>
      <c r="AD17" s="432"/>
      <c r="AE17" s="433"/>
      <c r="AF17" s="433"/>
      <c r="AG17" s="434"/>
      <c r="AH17" s="432">
        <v>10.24</v>
      </c>
      <c r="AI17" s="436">
        <v>13</v>
      </c>
      <c r="AJ17" s="436">
        <v>27.98</v>
      </c>
      <c r="AK17" s="437">
        <v>33.87</v>
      </c>
      <c r="AL17" s="435"/>
      <c r="AM17" s="436"/>
      <c r="AN17" s="436"/>
      <c r="AO17" s="1328">
        <v>0.02</v>
      </c>
      <c r="AP17" s="432">
        <v>0.02</v>
      </c>
      <c r="AQ17" s="436">
        <v>0.02</v>
      </c>
      <c r="AR17" s="436">
        <v>0.05</v>
      </c>
      <c r="AS17" s="437">
        <v>0.05</v>
      </c>
      <c r="AT17" s="435"/>
      <c r="AU17" s="436"/>
      <c r="AV17" s="436"/>
      <c r="AW17" s="1328"/>
      <c r="AX17" s="432"/>
      <c r="AY17" s="436"/>
      <c r="AZ17" s="436"/>
      <c r="BA17" s="437"/>
      <c r="BB17" s="405"/>
      <c r="BC17" s="402"/>
      <c r="BD17" s="402"/>
      <c r="BE17" s="403"/>
      <c r="BF17" s="401">
        <v>0.18</v>
      </c>
      <c r="BG17" s="402">
        <v>0.02</v>
      </c>
      <c r="BH17" s="402">
        <v>0.72</v>
      </c>
      <c r="BI17" s="404">
        <v>0.03</v>
      </c>
      <c r="BJ17" s="405"/>
      <c r="BK17" s="402"/>
      <c r="BL17" s="402"/>
      <c r="BM17" s="403"/>
      <c r="BN17" s="401">
        <v>-0.02</v>
      </c>
      <c r="BO17" s="402">
        <v>-0.04</v>
      </c>
      <c r="BP17" s="402">
        <v>-0.19</v>
      </c>
      <c r="BQ17" s="404">
        <v>-0.09</v>
      </c>
      <c r="BR17" s="405"/>
      <c r="BS17" s="402"/>
      <c r="BT17" s="402"/>
      <c r="BU17" s="403"/>
      <c r="BV17" s="1334"/>
      <c r="BW17" s="402"/>
      <c r="BX17" s="402"/>
      <c r="BY17" s="404"/>
      <c r="BZ17" s="406"/>
      <c r="CA17" s="438"/>
      <c r="CB17" s="438"/>
      <c r="CC17" s="1340"/>
      <c r="CD17" s="407"/>
      <c r="CE17" s="408"/>
      <c r="CF17" s="408"/>
      <c r="CG17" s="409"/>
      <c r="CH17" s="410"/>
      <c r="CI17" s="411"/>
      <c r="CJ17" s="411"/>
      <c r="CK17" s="1344"/>
      <c r="CL17" s="401"/>
      <c r="CM17" s="402"/>
      <c r="CN17" s="402"/>
      <c r="CO17" s="404"/>
      <c r="CP17" s="413">
        <f t="shared" si="2"/>
        <v>10.9</v>
      </c>
      <c r="CQ17" s="413">
        <f t="shared" si="0"/>
        <v>14.32</v>
      </c>
      <c r="CR17" s="413">
        <f t="shared" si="0"/>
        <v>31.209999999999997</v>
      </c>
      <c r="CS17" s="413">
        <f t="shared" si="0"/>
        <v>37.87</v>
      </c>
      <c r="CT17" s="414"/>
      <c r="CU17" s="411"/>
      <c r="CV17" s="411"/>
      <c r="CW17" s="412"/>
      <c r="CX17" s="415">
        <f t="shared" si="3"/>
        <v>10.9</v>
      </c>
      <c r="CY17" s="415">
        <f t="shared" si="1"/>
        <v>14.32</v>
      </c>
      <c r="CZ17" s="415">
        <f t="shared" si="1"/>
        <v>31.209999999999997</v>
      </c>
      <c r="DA17" s="416">
        <f t="shared" si="1"/>
        <v>37.87</v>
      </c>
    </row>
    <row r="18" spans="1:105" s="900" customFormat="1" ht="18.75" thickBot="1">
      <c r="A18" s="901" t="s">
        <v>15</v>
      </c>
      <c r="B18" s="902">
        <f>B16+B17</f>
        <v>691</v>
      </c>
      <c r="C18" s="902">
        <f aca="true" t="shared" si="6" ref="C18:BN18">C16+C17</f>
        <v>491</v>
      </c>
      <c r="D18" s="902">
        <f t="shared" si="6"/>
        <v>1798</v>
      </c>
      <c r="E18" s="903">
        <f t="shared" si="6"/>
        <v>1152</v>
      </c>
      <c r="F18" s="904">
        <f t="shared" si="6"/>
        <v>166.29999999999998</v>
      </c>
      <c r="G18" s="902">
        <f t="shared" si="6"/>
        <v>55.56</v>
      </c>
      <c r="H18" s="902">
        <f t="shared" si="6"/>
        <v>102.53</v>
      </c>
      <c r="I18" s="905">
        <f t="shared" si="6"/>
        <v>133.82999999999998</v>
      </c>
      <c r="J18" s="904">
        <f t="shared" si="6"/>
        <v>79.63</v>
      </c>
      <c r="K18" s="902">
        <f t="shared" si="6"/>
        <v>93.19999999999999</v>
      </c>
      <c r="L18" s="902">
        <f t="shared" si="6"/>
        <v>175.16</v>
      </c>
      <c r="M18" s="905">
        <f t="shared" si="6"/>
        <v>197.78</v>
      </c>
      <c r="N18" s="902">
        <f t="shared" si="6"/>
        <v>711</v>
      </c>
      <c r="O18" s="902">
        <f t="shared" si="6"/>
        <v>493</v>
      </c>
      <c r="P18" s="902">
        <f t="shared" si="6"/>
        <v>1802</v>
      </c>
      <c r="Q18" s="903">
        <f t="shared" si="6"/>
        <v>1457</v>
      </c>
      <c r="R18" s="904">
        <f t="shared" si="6"/>
        <v>226.71</v>
      </c>
      <c r="S18" s="902">
        <f t="shared" si="6"/>
        <v>199.42999999999998</v>
      </c>
      <c r="T18" s="902">
        <f t="shared" si="6"/>
        <v>645</v>
      </c>
      <c r="U18" s="905">
        <f t="shared" si="6"/>
        <v>467</v>
      </c>
      <c r="V18" s="902">
        <f t="shared" si="6"/>
        <v>366.74</v>
      </c>
      <c r="W18" s="902">
        <f t="shared" si="6"/>
        <v>278.81</v>
      </c>
      <c r="X18" s="902">
        <f t="shared" si="6"/>
        <v>967.0200000000001</v>
      </c>
      <c r="Y18" s="903">
        <f t="shared" si="6"/>
        <v>830.65</v>
      </c>
      <c r="Z18" s="904">
        <f t="shared" si="6"/>
        <v>64.64</v>
      </c>
      <c r="AA18" s="902">
        <f t="shared" si="6"/>
        <v>129.63</v>
      </c>
      <c r="AB18" s="902">
        <f t="shared" si="6"/>
        <v>315.17</v>
      </c>
      <c r="AC18" s="905">
        <f t="shared" si="6"/>
        <v>362.0900000000001</v>
      </c>
      <c r="AD18" s="904">
        <f t="shared" si="6"/>
        <v>142</v>
      </c>
      <c r="AE18" s="902">
        <f t="shared" si="6"/>
        <v>136.44</v>
      </c>
      <c r="AF18" s="902">
        <f t="shared" si="6"/>
        <v>353.88</v>
      </c>
      <c r="AG18" s="905">
        <f t="shared" si="6"/>
        <v>267.09999999999997</v>
      </c>
      <c r="AH18" s="904">
        <f t="shared" si="6"/>
        <v>273.8</v>
      </c>
      <c r="AI18" s="902">
        <f t="shared" si="6"/>
        <v>248.06</v>
      </c>
      <c r="AJ18" s="902">
        <f t="shared" si="6"/>
        <v>719.44</v>
      </c>
      <c r="AK18" s="905">
        <f t="shared" si="6"/>
        <v>647.54</v>
      </c>
      <c r="AL18" s="902">
        <f t="shared" si="6"/>
        <v>185.54</v>
      </c>
      <c r="AM18" s="902">
        <f t="shared" si="6"/>
        <v>126.58999999999999</v>
      </c>
      <c r="AN18" s="902">
        <f t="shared" si="6"/>
        <v>380.6</v>
      </c>
      <c r="AO18" s="903">
        <f t="shared" si="6"/>
        <v>285.91999999999996</v>
      </c>
      <c r="AP18" s="904">
        <f t="shared" si="6"/>
        <v>2667.17</v>
      </c>
      <c r="AQ18" s="902">
        <f t="shared" si="6"/>
        <v>2453.5</v>
      </c>
      <c r="AR18" s="902">
        <f t="shared" si="6"/>
        <v>7644.900000000001</v>
      </c>
      <c r="AS18" s="905">
        <f t="shared" si="6"/>
        <v>5943.57</v>
      </c>
      <c r="AT18" s="902">
        <f t="shared" si="6"/>
        <v>2662.6</v>
      </c>
      <c r="AU18" s="902">
        <f t="shared" si="6"/>
        <v>2404.7000000000003</v>
      </c>
      <c r="AV18" s="902">
        <f t="shared" si="6"/>
        <v>8140.099999999999</v>
      </c>
      <c r="AW18" s="903">
        <f t="shared" si="6"/>
        <v>8401.9</v>
      </c>
      <c r="AX18" s="904">
        <f t="shared" si="6"/>
        <v>231.38</v>
      </c>
      <c r="AY18" s="902">
        <f t="shared" si="6"/>
        <v>243.01000000000002</v>
      </c>
      <c r="AZ18" s="902">
        <f t="shared" si="6"/>
        <v>644.2499999999999</v>
      </c>
      <c r="BA18" s="905">
        <f t="shared" si="6"/>
        <v>731.8799999999999</v>
      </c>
      <c r="BB18" s="902">
        <f t="shared" si="6"/>
        <v>276.35</v>
      </c>
      <c r="BC18" s="902">
        <f t="shared" si="6"/>
        <v>220.54999999999998</v>
      </c>
      <c r="BD18" s="902">
        <f t="shared" si="6"/>
        <v>700.5799999999999</v>
      </c>
      <c r="BE18" s="903">
        <f t="shared" si="6"/>
        <v>607.08</v>
      </c>
      <c r="BF18" s="904">
        <f t="shared" si="6"/>
        <v>986.6999999999999</v>
      </c>
      <c r="BG18" s="902">
        <f t="shared" si="6"/>
        <v>933.31</v>
      </c>
      <c r="BH18" s="902">
        <f t="shared" si="6"/>
        <v>2131.62</v>
      </c>
      <c r="BI18" s="905">
        <f t="shared" si="6"/>
        <v>1971.8500000000001</v>
      </c>
      <c r="BJ18" s="902">
        <f t="shared" si="6"/>
        <v>1930.41</v>
      </c>
      <c r="BK18" s="902">
        <f t="shared" si="6"/>
        <v>1586.76</v>
      </c>
      <c r="BL18" s="902">
        <f t="shared" si="6"/>
        <v>4746.7</v>
      </c>
      <c r="BM18" s="903">
        <f t="shared" si="6"/>
        <v>3983.96</v>
      </c>
      <c r="BN18" s="904">
        <f t="shared" si="6"/>
        <v>506.04</v>
      </c>
      <c r="BO18" s="902">
        <f aca="true" t="shared" si="7" ref="BO18:CO18">BO16+BO17</f>
        <v>447.84999999999997</v>
      </c>
      <c r="BP18" s="902">
        <f t="shared" si="7"/>
        <v>1393.46</v>
      </c>
      <c r="BQ18" s="905">
        <f t="shared" si="7"/>
        <v>1254.41</v>
      </c>
      <c r="BR18" s="902">
        <f t="shared" si="7"/>
        <v>270.62</v>
      </c>
      <c r="BS18" s="902">
        <f t="shared" si="7"/>
        <v>263.94</v>
      </c>
      <c r="BT18" s="902">
        <f t="shared" si="7"/>
        <v>902.09</v>
      </c>
      <c r="BU18" s="903">
        <f t="shared" si="7"/>
        <v>744.1899999999999</v>
      </c>
      <c r="BV18" s="904">
        <f t="shared" si="7"/>
        <v>0</v>
      </c>
      <c r="BW18" s="902">
        <f t="shared" si="7"/>
        <v>0</v>
      </c>
      <c r="BX18" s="902">
        <f t="shared" si="7"/>
        <v>0</v>
      </c>
      <c r="BY18" s="905">
        <f t="shared" si="7"/>
        <v>0</v>
      </c>
      <c r="BZ18" s="902">
        <f t="shared" si="7"/>
        <v>3039</v>
      </c>
      <c r="CA18" s="902">
        <f t="shared" si="7"/>
        <v>2618</v>
      </c>
      <c r="CB18" s="902">
        <f t="shared" si="7"/>
        <v>9637</v>
      </c>
      <c r="CC18" s="903">
        <f t="shared" si="7"/>
        <v>8407</v>
      </c>
      <c r="CD18" s="904">
        <f t="shared" si="7"/>
        <v>176.81</v>
      </c>
      <c r="CE18" s="902">
        <f t="shared" si="7"/>
        <v>158.95</v>
      </c>
      <c r="CF18" s="902">
        <f t="shared" si="7"/>
        <v>507.96</v>
      </c>
      <c r="CG18" s="905">
        <f t="shared" si="7"/>
        <v>465.28</v>
      </c>
      <c r="CH18" s="902">
        <f t="shared" si="7"/>
        <v>226.09</v>
      </c>
      <c r="CI18" s="902">
        <f t="shared" si="7"/>
        <v>215.08</v>
      </c>
      <c r="CJ18" s="902">
        <f t="shared" si="7"/>
        <v>608.55</v>
      </c>
      <c r="CK18" s="903">
        <f t="shared" si="7"/>
        <v>642.79</v>
      </c>
      <c r="CL18" s="904">
        <f t="shared" si="7"/>
        <v>1042.5500000000002</v>
      </c>
      <c r="CM18" s="902">
        <f t="shared" si="7"/>
        <v>616.01</v>
      </c>
      <c r="CN18" s="902">
        <f t="shared" si="7"/>
        <v>2351.38</v>
      </c>
      <c r="CO18" s="905">
        <f t="shared" si="7"/>
        <v>1402.7800000000002</v>
      </c>
      <c r="CP18" s="906">
        <f t="shared" si="2"/>
        <v>16923.08</v>
      </c>
      <c r="CQ18" s="906">
        <f t="shared" si="0"/>
        <v>14413.380000000003</v>
      </c>
      <c r="CR18" s="906">
        <f t="shared" si="0"/>
        <v>46667.38999999999</v>
      </c>
      <c r="CS18" s="906">
        <f t="shared" si="0"/>
        <v>40357.6</v>
      </c>
      <c r="CT18" s="907">
        <f>CT16+CT17</f>
        <v>17548.29</v>
      </c>
      <c r="CU18" s="907">
        <f>CU16+CU17</f>
        <v>14983.929999999998</v>
      </c>
      <c r="CV18" s="907">
        <f>CV16+CV17</f>
        <v>51026.100000000006</v>
      </c>
      <c r="CW18" s="907">
        <f>CW16+CW17</f>
        <v>51773.950000000004</v>
      </c>
      <c r="CX18" s="907">
        <f t="shared" si="3"/>
        <v>34471.37</v>
      </c>
      <c r="CY18" s="907">
        <f t="shared" si="1"/>
        <v>29397.31</v>
      </c>
      <c r="CZ18" s="907">
        <f t="shared" si="1"/>
        <v>97693.48999999999</v>
      </c>
      <c r="DA18" s="908">
        <f t="shared" si="1"/>
        <v>92131.55</v>
      </c>
    </row>
    <row r="19" spans="90:93" ht="16.5">
      <c r="CL19" s="133"/>
      <c r="CM19" s="133"/>
      <c r="CN19" s="133"/>
      <c r="CO19" s="133"/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DB20"/>
  <sheetViews>
    <sheetView zoomScalePageLayoutView="0" workbookViewId="0" topLeftCell="A1">
      <pane xSplit="1" topLeftCell="CQ1" activePane="topRight" state="frozen"/>
      <selection pane="topLeft" activeCell="A1" sqref="A1"/>
      <selection pane="topRight" activeCell="A1" sqref="A1:CY1"/>
    </sheetView>
  </sheetViews>
  <sheetFormatPr defaultColWidth="9.140625" defaultRowHeight="15"/>
  <cols>
    <col min="1" max="1" width="53.7109375" style="15" customWidth="1"/>
    <col min="2" max="3" width="11.421875" style="15" bestFit="1" customWidth="1"/>
    <col min="4" max="5" width="12.421875" style="15" bestFit="1" customWidth="1"/>
    <col min="6" max="7" width="11.421875" style="15" bestFit="1" customWidth="1"/>
    <col min="8" max="9" width="12.421875" style="15" bestFit="1" customWidth="1"/>
    <col min="10" max="11" width="11.421875" style="15" bestFit="1" customWidth="1"/>
    <col min="12" max="13" width="12.421875" style="15" bestFit="1" customWidth="1"/>
    <col min="14" max="15" width="11.421875" style="15" bestFit="1" customWidth="1"/>
    <col min="16" max="17" width="12.421875" style="15" bestFit="1" customWidth="1"/>
    <col min="18" max="19" width="11.421875" style="15" bestFit="1" customWidth="1"/>
    <col min="20" max="21" width="12.421875" style="15" bestFit="1" customWidth="1"/>
    <col min="22" max="23" width="11.421875" style="15" bestFit="1" customWidth="1"/>
    <col min="24" max="25" width="12.421875" style="15" bestFit="1" customWidth="1"/>
    <col min="26" max="27" width="11.421875" style="15" bestFit="1" customWidth="1"/>
    <col min="28" max="29" width="12.421875" style="15" bestFit="1" customWidth="1"/>
    <col min="30" max="31" width="11.421875" style="15" bestFit="1" customWidth="1"/>
    <col min="32" max="33" width="12.421875" style="15" bestFit="1" customWidth="1"/>
    <col min="34" max="35" width="11.421875" style="15" bestFit="1" customWidth="1"/>
    <col min="36" max="37" width="12.421875" style="15" bestFit="1" customWidth="1"/>
    <col min="38" max="39" width="11.421875" style="15" bestFit="1" customWidth="1"/>
    <col min="40" max="41" width="12.421875" style="15" bestFit="1" customWidth="1"/>
    <col min="42" max="43" width="11.421875" style="15" bestFit="1" customWidth="1"/>
    <col min="44" max="45" width="12.421875" style="15" bestFit="1" customWidth="1"/>
    <col min="46" max="47" width="11.421875" style="15" bestFit="1" customWidth="1"/>
    <col min="48" max="49" width="12.421875" style="15" bestFit="1" customWidth="1"/>
    <col min="50" max="51" width="11.421875" style="55" bestFit="1" customWidth="1"/>
    <col min="52" max="53" width="12.421875" style="55" bestFit="1" customWidth="1"/>
    <col min="54" max="55" width="11.421875" style="15" bestFit="1" customWidth="1"/>
    <col min="56" max="57" width="12.421875" style="15" bestFit="1" customWidth="1"/>
    <col min="58" max="59" width="11.421875" style="15" bestFit="1" customWidth="1"/>
    <col min="60" max="61" width="12.421875" style="15" bestFit="1" customWidth="1"/>
    <col min="62" max="63" width="11.421875" style="15" bestFit="1" customWidth="1"/>
    <col min="64" max="65" width="12.421875" style="15" bestFit="1" customWidth="1"/>
    <col min="66" max="67" width="11.421875" style="15" bestFit="1" customWidth="1"/>
    <col min="68" max="69" width="12.421875" style="15" bestFit="1" customWidth="1"/>
    <col min="70" max="71" width="11.421875" style="15" bestFit="1" customWidth="1"/>
    <col min="72" max="73" width="12.421875" style="15" bestFit="1" customWidth="1"/>
    <col min="74" max="75" width="11.421875" style="15" bestFit="1" customWidth="1"/>
    <col min="76" max="77" width="12.421875" style="15" bestFit="1" customWidth="1"/>
    <col min="78" max="79" width="11.421875" style="15" bestFit="1" customWidth="1"/>
    <col min="80" max="81" width="12.421875" style="15" bestFit="1" customWidth="1"/>
    <col min="82" max="82" width="11.421875" style="15" bestFit="1" customWidth="1"/>
    <col min="83" max="83" width="11.421875" style="15" customWidth="1"/>
    <col min="84" max="85" width="12.421875" style="15" bestFit="1" customWidth="1"/>
    <col min="86" max="87" width="11.421875" style="15" bestFit="1" customWidth="1"/>
    <col min="88" max="89" width="12.421875" style="15" bestFit="1" customWidth="1"/>
    <col min="90" max="91" width="11.421875" style="15" bestFit="1" customWidth="1"/>
    <col min="92" max="93" width="12.421875" style="15" bestFit="1" customWidth="1"/>
    <col min="94" max="95" width="11.421875" style="15" bestFit="1" customWidth="1"/>
    <col min="96" max="97" width="12.421875" style="15" bestFit="1" customWidth="1"/>
    <col min="98" max="99" width="11.421875" style="15" bestFit="1" customWidth="1"/>
    <col min="100" max="101" width="12.421875" style="15" bestFit="1" customWidth="1"/>
    <col min="102" max="103" width="11.421875" style="15" bestFit="1" customWidth="1"/>
    <col min="104" max="105" width="12.421875" style="15" bestFit="1" customWidth="1"/>
    <col min="106" max="106" width="9.57421875" style="15" bestFit="1" customWidth="1"/>
    <col min="107" max="16384" width="9.140625" style="15" customWidth="1"/>
  </cols>
  <sheetData>
    <row r="1" spans="1:105" ht="28.5" customHeight="1">
      <c r="A1" s="1852" t="s">
        <v>189</v>
      </c>
      <c r="B1" s="1852"/>
      <c r="C1" s="1852"/>
      <c r="D1" s="1852"/>
      <c r="E1" s="1852"/>
      <c r="F1" s="1852"/>
      <c r="G1" s="1852"/>
      <c r="H1" s="1852"/>
      <c r="I1" s="1852"/>
      <c r="J1" s="1852"/>
      <c r="K1" s="1852"/>
      <c r="L1" s="1852"/>
      <c r="M1" s="1852"/>
      <c r="N1" s="1852"/>
      <c r="O1" s="1852"/>
      <c r="P1" s="1852"/>
      <c r="Q1" s="1852"/>
      <c r="R1" s="1852"/>
      <c r="S1" s="1852"/>
      <c r="T1" s="1852"/>
      <c r="U1" s="1852"/>
      <c r="V1" s="1852"/>
      <c r="W1" s="1852"/>
      <c r="X1" s="1852"/>
      <c r="Y1" s="1852"/>
      <c r="Z1" s="1852"/>
      <c r="AA1" s="1852"/>
      <c r="AB1" s="1852"/>
      <c r="AC1" s="1852"/>
      <c r="AD1" s="1852"/>
      <c r="AE1" s="1852"/>
      <c r="AF1" s="1852"/>
      <c r="AG1" s="1852"/>
      <c r="AH1" s="1852"/>
      <c r="AI1" s="1852"/>
      <c r="AJ1" s="1852"/>
      <c r="AK1" s="1852"/>
      <c r="AL1" s="1852"/>
      <c r="AM1" s="1852"/>
      <c r="AN1" s="1852"/>
      <c r="AO1" s="1852"/>
      <c r="AP1" s="1852"/>
      <c r="AQ1" s="1852"/>
      <c r="AR1" s="1852"/>
      <c r="AS1" s="1852"/>
      <c r="AT1" s="1852"/>
      <c r="AU1" s="1852"/>
      <c r="AV1" s="1852"/>
      <c r="AW1" s="1852"/>
      <c r="AX1" s="1852"/>
      <c r="AY1" s="1852"/>
      <c r="AZ1" s="1852"/>
      <c r="BA1" s="1852"/>
      <c r="BB1" s="1852"/>
      <c r="BC1" s="1852"/>
      <c r="BD1" s="1852"/>
      <c r="BE1" s="1852"/>
      <c r="BF1" s="1852"/>
      <c r="BG1" s="1852"/>
      <c r="BH1" s="1852"/>
      <c r="BI1" s="1852"/>
      <c r="BJ1" s="1852"/>
      <c r="BK1" s="1852"/>
      <c r="BL1" s="1852"/>
      <c r="BM1" s="1852"/>
      <c r="BN1" s="1852"/>
      <c r="BO1" s="1852"/>
      <c r="BP1" s="1852"/>
      <c r="BQ1" s="1852"/>
      <c r="BR1" s="1852"/>
      <c r="BS1" s="1852"/>
      <c r="BT1" s="1852"/>
      <c r="BU1" s="1852"/>
      <c r="BV1" s="1852"/>
      <c r="BW1" s="1852"/>
      <c r="BX1" s="1852"/>
      <c r="BY1" s="1852"/>
      <c r="BZ1" s="1852"/>
      <c r="CA1" s="1852"/>
      <c r="CB1" s="1852"/>
      <c r="CC1" s="1852"/>
      <c r="CD1" s="1852"/>
      <c r="CE1" s="1852"/>
      <c r="CF1" s="1852"/>
      <c r="CG1" s="1852"/>
      <c r="CH1" s="1852"/>
      <c r="CI1" s="1852"/>
      <c r="CJ1" s="1852"/>
      <c r="CK1" s="1852"/>
      <c r="CL1" s="1852"/>
      <c r="CM1" s="1852"/>
      <c r="CN1" s="1852"/>
      <c r="CO1" s="1852"/>
      <c r="CP1" s="1852"/>
      <c r="CQ1" s="1852"/>
      <c r="CR1" s="1852"/>
      <c r="CS1" s="1852"/>
      <c r="CT1" s="1852"/>
      <c r="CU1" s="1852"/>
      <c r="CV1" s="1852"/>
      <c r="CW1" s="1852"/>
      <c r="CX1" s="1852"/>
      <c r="CY1" s="1852"/>
      <c r="CZ1" s="60"/>
      <c r="DA1" s="60"/>
    </row>
    <row r="2" spans="1:105" ht="15" thickBot="1">
      <c r="A2" s="1748"/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  <c r="O2" s="1748"/>
      <c r="P2" s="1748"/>
      <c r="Q2" s="1748"/>
      <c r="R2" s="1748"/>
      <c r="S2" s="1748"/>
      <c r="T2" s="1748"/>
      <c r="U2" s="1748"/>
      <c r="V2" s="1748"/>
      <c r="W2" s="1748"/>
      <c r="X2" s="1748"/>
      <c r="Y2" s="1748"/>
      <c r="Z2" s="1748"/>
      <c r="AA2" s="1748"/>
      <c r="AB2" s="1748"/>
      <c r="AC2" s="1748"/>
      <c r="AD2" s="1748"/>
      <c r="AE2" s="1748"/>
      <c r="AF2" s="1748"/>
      <c r="AG2" s="1748"/>
      <c r="AH2" s="1748"/>
      <c r="AI2" s="1748"/>
      <c r="AJ2" s="1748"/>
      <c r="AK2" s="1748"/>
      <c r="AL2" s="1748"/>
      <c r="AM2" s="1748"/>
      <c r="AN2" s="1748"/>
      <c r="AO2" s="1748"/>
      <c r="AP2" s="1748"/>
      <c r="AQ2" s="1748"/>
      <c r="AR2" s="1748"/>
      <c r="AS2" s="1748"/>
      <c r="AT2" s="1748"/>
      <c r="AU2" s="1748"/>
      <c r="AV2" s="1748"/>
      <c r="AW2" s="1748"/>
      <c r="AX2" s="1748"/>
      <c r="AY2" s="1748"/>
      <c r="AZ2" s="1748"/>
      <c r="BA2" s="1748"/>
      <c r="BB2" s="1748"/>
      <c r="BC2" s="1748"/>
      <c r="BD2" s="1748"/>
      <c r="BE2" s="1748"/>
      <c r="BF2" s="1748"/>
      <c r="BG2" s="1748"/>
      <c r="BH2" s="1748"/>
      <c r="BI2" s="1748"/>
      <c r="BJ2" s="1748"/>
      <c r="BK2" s="1748"/>
      <c r="BL2" s="1748"/>
      <c r="BM2" s="1748"/>
      <c r="BN2" s="1748"/>
      <c r="BO2" s="1748"/>
      <c r="BP2" s="1748"/>
      <c r="BQ2" s="1748"/>
      <c r="BR2" s="1748"/>
      <c r="BS2" s="1748"/>
      <c r="BT2" s="1748"/>
      <c r="BU2" s="1748"/>
      <c r="BV2" s="1748"/>
      <c r="BW2" s="1748"/>
      <c r="BX2" s="1748"/>
      <c r="BY2" s="1748"/>
      <c r="BZ2" s="1748"/>
      <c r="CA2" s="1748"/>
      <c r="CB2" s="1748"/>
      <c r="CC2" s="1748"/>
      <c r="CD2" s="1748"/>
      <c r="CE2" s="1748"/>
      <c r="CF2" s="1748"/>
      <c r="CG2" s="1748"/>
      <c r="CH2" s="1748"/>
      <c r="CI2" s="1748"/>
      <c r="CJ2" s="1748"/>
      <c r="CK2" s="1748"/>
      <c r="CL2" s="1748"/>
      <c r="CM2" s="1748"/>
      <c r="CN2" s="1748"/>
      <c r="CO2" s="1748"/>
      <c r="CP2" s="1748"/>
      <c r="CQ2" s="1748"/>
      <c r="CR2" s="1748"/>
      <c r="CS2" s="1748"/>
      <c r="CT2" s="1748"/>
      <c r="CU2" s="1748"/>
      <c r="CV2" s="1748"/>
      <c r="CW2" s="1748"/>
      <c r="CX2" s="1748"/>
      <c r="CY2" s="1748"/>
      <c r="CZ2" s="61"/>
      <c r="DA2" s="61"/>
    </row>
    <row r="3" spans="1:105" ht="24" customHeight="1" thickBot="1">
      <c r="A3" s="1853" t="s">
        <v>17</v>
      </c>
      <c r="B3" s="1853" t="s">
        <v>190</v>
      </c>
      <c r="C3" s="1855"/>
      <c r="D3" s="1855"/>
      <c r="E3" s="1856"/>
      <c r="F3" s="1800" t="s">
        <v>191</v>
      </c>
      <c r="G3" s="1800"/>
      <c r="H3" s="1800"/>
      <c r="I3" s="1801"/>
      <c r="J3" s="1800" t="s">
        <v>192</v>
      </c>
      <c r="K3" s="1800"/>
      <c r="L3" s="1800"/>
      <c r="M3" s="1801"/>
      <c r="N3" s="1799" t="s">
        <v>193</v>
      </c>
      <c r="O3" s="1800"/>
      <c r="P3" s="1800"/>
      <c r="Q3" s="1801"/>
      <c r="R3" s="1800" t="s">
        <v>194</v>
      </c>
      <c r="S3" s="1800"/>
      <c r="T3" s="1800"/>
      <c r="U3" s="1801"/>
      <c r="V3" s="1800" t="s">
        <v>195</v>
      </c>
      <c r="W3" s="1800"/>
      <c r="X3" s="1800"/>
      <c r="Y3" s="1801"/>
      <c r="Z3" s="1800" t="s">
        <v>196</v>
      </c>
      <c r="AA3" s="1800"/>
      <c r="AB3" s="1800"/>
      <c r="AC3" s="1801"/>
      <c r="AD3" s="1800" t="s">
        <v>197</v>
      </c>
      <c r="AE3" s="1800"/>
      <c r="AF3" s="1800"/>
      <c r="AG3" s="1801"/>
      <c r="AH3" s="1800" t="s">
        <v>198</v>
      </c>
      <c r="AI3" s="1800"/>
      <c r="AJ3" s="1800"/>
      <c r="AK3" s="1801"/>
      <c r="AL3" s="1800" t="s">
        <v>199</v>
      </c>
      <c r="AM3" s="1800"/>
      <c r="AN3" s="1800"/>
      <c r="AO3" s="1801"/>
      <c r="AP3" s="1800" t="s">
        <v>200</v>
      </c>
      <c r="AQ3" s="1800"/>
      <c r="AR3" s="1800"/>
      <c r="AS3" s="1801"/>
      <c r="AT3" s="1799" t="s">
        <v>201</v>
      </c>
      <c r="AU3" s="1800"/>
      <c r="AV3" s="1800"/>
      <c r="AW3" s="1801"/>
      <c r="AX3" s="1851" t="s">
        <v>202</v>
      </c>
      <c r="AY3" s="1683"/>
      <c r="AZ3" s="1683"/>
      <c r="BA3" s="1684"/>
      <c r="BB3" s="1800" t="s">
        <v>203</v>
      </c>
      <c r="BC3" s="1800"/>
      <c r="BD3" s="1800"/>
      <c r="BE3" s="1801"/>
      <c r="BF3" s="1849" t="s">
        <v>204</v>
      </c>
      <c r="BG3" s="1849"/>
      <c r="BH3" s="1849"/>
      <c r="BI3" s="1850"/>
      <c r="BJ3" s="1800" t="s">
        <v>205</v>
      </c>
      <c r="BK3" s="1800"/>
      <c r="BL3" s="1800"/>
      <c r="BM3" s="1801"/>
      <c r="BN3" s="1800" t="s">
        <v>206</v>
      </c>
      <c r="BO3" s="1800"/>
      <c r="BP3" s="1800"/>
      <c r="BQ3" s="1801"/>
      <c r="BR3" s="1800" t="s">
        <v>207</v>
      </c>
      <c r="BS3" s="1800"/>
      <c r="BT3" s="1800"/>
      <c r="BU3" s="1801"/>
      <c r="BV3" s="1849" t="s">
        <v>208</v>
      </c>
      <c r="BW3" s="1849"/>
      <c r="BX3" s="1849"/>
      <c r="BY3" s="1850"/>
      <c r="BZ3" s="1800" t="s">
        <v>209</v>
      </c>
      <c r="CA3" s="1800"/>
      <c r="CB3" s="1800"/>
      <c r="CC3" s="1801"/>
      <c r="CD3" s="1859" t="s">
        <v>210</v>
      </c>
      <c r="CE3" s="1860"/>
      <c r="CF3" s="1860"/>
      <c r="CG3" s="1861"/>
      <c r="CH3" s="1859" t="s">
        <v>211</v>
      </c>
      <c r="CI3" s="1860"/>
      <c r="CJ3" s="1860"/>
      <c r="CK3" s="1861"/>
      <c r="CL3" s="1859" t="s">
        <v>212</v>
      </c>
      <c r="CM3" s="1860"/>
      <c r="CN3" s="1860"/>
      <c r="CO3" s="1861"/>
      <c r="CP3" s="1859" t="s">
        <v>1</v>
      </c>
      <c r="CQ3" s="1860"/>
      <c r="CR3" s="1860"/>
      <c r="CS3" s="1861"/>
      <c r="CT3" s="1862" t="s">
        <v>213</v>
      </c>
      <c r="CU3" s="1857"/>
      <c r="CV3" s="1857"/>
      <c r="CW3" s="1858"/>
      <c r="CX3" s="1857" t="s">
        <v>2</v>
      </c>
      <c r="CY3" s="1857"/>
      <c r="CZ3" s="1857"/>
      <c r="DA3" s="1858"/>
    </row>
    <row r="4" spans="1:105" ht="15" thickBot="1">
      <c r="A4" s="1854"/>
      <c r="B4" s="1606" t="s">
        <v>285</v>
      </c>
      <c r="C4" s="1607" t="s">
        <v>286</v>
      </c>
      <c r="D4" s="1607" t="s">
        <v>287</v>
      </c>
      <c r="E4" s="1608" t="s">
        <v>288</v>
      </c>
      <c r="F4" s="1607" t="s">
        <v>285</v>
      </c>
      <c r="G4" s="1607" t="s">
        <v>286</v>
      </c>
      <c r="H4" s="1607" t="s">
        <v>287</v>
      </c>
      <c r="I4" s="1608" t="s">
        <v>288</v>
      </c>
      <c r="J4" s="1607" t="s">
        <v>285</v>
      </c>
      <c r="K4" s="1607" t="s">
        <v>286</v>
      </c>
      <c r="L4" s="1607" t="s">
        <v>287</v>
      </c>
      <c r="M4" s="1608" t="s">
        <v>288</v>
      </c>
      <c r="N4" s="1607" t="s">
        <v>285</v>
      </c>
      <c r="O4" s="1607" t="s">
        <v>286</v>
      </c>
      <c r="P4" s="1607" t="s">
        <v>287</v>
      </c>
      <c r="Q4" s="1608" t="s">
        <v>288</v>
      </c>
      <c r="R4" s="1607" t="s">
        <v>285</v>
      </c>
      <c r="S4" s="1607" t="s">
        <v>286</v>
      </c>
      <c r="T4" s="1607" t="s">
        <v>287</v>
      </c>
      <c r="U4" s="1608" t="s">
        <v>288</v>
      </c>
      <c r="V4" s="1607" t="s">
        <v>285</v>
      </c>
      <c r="W4" s="1607" t="s">
        <v>286</v>
      </c>
      <c r="X4" s="1607" t="s">
        <v>287</v>
      </c>
      <c r="Y4" s="1608" t="s">
        <v>288</v>
      </c>
      <c r="Z4" s="1607" t="s">
        <v>285</v>
      </c>
      <c r="AA4" s="1607" t="s">
        <v>286</v>
      </c>
      <c r="AB4" s="1607" t="s">
        <v>287</v>
      </c>
      <c r="AC4" s="1608" t="s">
        <v>288</v>
      </c>
      <c r="AD4" s="1607" t="s">
        <v>285</v>
      </c>
      <c r="AE4" s="1607" t="s">
        <v>286</v>
      </c>
      <c r="AF4" s="1607" t="s">
        <v>287</v>
      </c>
      <c r="AG4" s="1608" t="s">
        <v>288</v>
      </c>
      <c r="AH4" s="1607" t="s">
        <v>285</v>
      </c>
      <c r="AI4" s="1607" t="s">
        <v>286</v>
      </c>
      <c r="AJ4" s="1607" t="s">
        <v>287</v>
      </c>
      <c r="AK4" s="1608" t="s">
        <v>288</v>
      </c>
      <c r="AL4" s="1607" t="s">
        <v>285</v>
      </c>
      <c r="AM4" s="1607" t="s">
        <v>286</v>
      </c>
      <c r="AN4" s="1607" t="s">
        <v>287</v>
      </c>
      <c r="AO4" s="1608" t="s">
        <v>288</v>
      </c>
      <c r="AP4" s="1607" t="s">
        <v>285</v>
      </c>
      <c r="AQ4" s="1607" t="s">
        <v>286</v>
      </c>
      <c r="AR4" s="1607" t="s">
        <v>287</v>
      </c>
      <c r="AS4" s="1608" t="s">
        <v>288</v>
      </c>
      <c r="AT4" s="1607" t="s">
        <v>285</v>
      </c>
      <c r="AU4" s="1607" t="s">
        <v>286</v>
      </c>
      <c r="AV4" s="1607" t="s">
        <v>287</v>
      </c>
      <c r="AW4" s="1608" t="s">
        <v>288</v>
      </c>
      <c r="AX4" s="1607" t="s">
        <v>285</v>
      </c>
      <c r="AY4" s="1607" t="s">
        <v>286</v>
      </c>
      <c r="AZ4" s="1607" t="s">
        <v>287</v>
      </c>
      <c r="BA4" s="1608" t="s">
        <v>288</v>
      </c>
      <c r="BB4" s="1607" t="s">
        <v>285</v>
      </c>
      <c r="BC4" s="1607" t="s">
        <v>286</v>
      </c>
      <c r="BD4" s="1607" t="s">
        <v>287</v>
      </c>
      <c r="BE4" s="1608" t="s">
        <v>288</v>
      </c>
      <c r="BF4" s="1607" t="s">
        <v>285</v>
      </c>
      <c r="BG4" s="1607" t="s">
        <v>286</v>
      </c>
      <c r="BH4" s="1607" t="s">
        <v>287</v>
      </c>
      <c r="BI4" s="1608" t="s">
        <v>288</v>
      </c>
      <c r="BJ4" s="1607" t="s">
        <v>285</v>
      </c>
      <c r="BK4" s="1607" t="s">
        <v>286</v>
      </c>
      <c r="BL4" s="1607" t="s">
        <v>287</v>
      </c>
      <c r="BM4" s="1608" t="s">
        <v>288</v>
      </c>
      <c r="BN4" s="1607" t="s">
        <v>285</v>
      </c>
      <c r="BO4" s="1607" t="s">
        <v>286</v>
      </c>
      <c r="BP4" s="1607" t="s">
        <v>287</v>
      </c>
      <c r="BQ4" s="1608" t="s">
        <v>288</v>
      </c>
      <c r="BR4" s="1607" t="s">
        <v>285</v>
      </c>
      <c r="BS4" s="1607" t="s">
        <v>286</v>
      </c>
      <c r="BT4" s="1607" t="s">
        <v>287</v>
      </c>
      <c r="BU4" s="1608" t="s">
        <v>288</v>
      </c>
      <c r="BV4" s="1607" t="s">
        <v>285</v>
      </c>
      <c r="BW4" s="1607" t="s">
        <v>286</v>
      </c>
      <c r="BX4" s="1607" t="s">
        <v>287</v>
      </c>
      <c r="BY4" s="1608" t="s">
        <v>288</v>
      </c>
      <c r="BZ4" s="1607" t="s">
        <v>285</v>
      </c>
      <c r="CA4" s="1607" t="s">
        <v>286</v>
      </c>
      <c r="CB4" s="1607" t="s">
        <v>287</v>
      </c>
      <c r="CC4" s="1608" t="s">
        <v>288</v>
      </c>
      <c r="CD4" s="1607" t="s">
        <v>285</v>
      </c>
      <c r="CE4" s="1607" t="s">
        <v>286</v>
      </c>
      <c r="CF4" s="1607" t="s">
        <v>287</v>
      </c>
      <c r="CG4" s="1608" t="s">
        <v>288</v>
      </c>
      <c r="CH4" s="1607" t="s">
        <v>285</v>
      </c>
      <c r="CI4" s="1607" t="s">
        <v>286</v>
      </c>
      <c r="CJ4" s="1607" t="s">
        <v>287</v>
      </c>
      <c r="CK4" s="1608" t="s">
        <v>288</v>
      </c>
      <c r="CL4" s="1607" t="s">
        <v>285</v>
      </c>
      <c r="CM4" s="1607" t="s">
        <v>286</v>
      </c>
      <c r="CN4" s="1607" t="s">
        <v>287</v>
      </c>
      <c r="CO4" s="1608" t="s">
        <v>288</v>
      </c>
      <c r="CP4" s="1607" t="s">
        <v>285</v>
      </c>
      <c r="CQ4" s="1607" t="s">
        <v>286</v>
      </c>
      <c r="CR4" s="1607" t="s">
        <v>287</v>
      </c>
      <c r="CS4" s="1608" t="s">
        <v>288</v>
      </c>
      <c r="CT4" s="1607" t="s">
        <v>285</v>
      </c>
      <c r="CU4" s="1607" t="s">
        <v>286</v>
      </c>
      <c r="CV4" s="1607" t="s">
        <v>287</v>
      </c>
      <c r="CW4" s="1608" t="s">
        <v>288</v>
      </c>
      <c r="CX4" s="1607" t="s">
        <v>285</v>
      </c>
      <c r="CY4" s="1607" t="s">
        <v>286</v>
      </c>
      <c r="CZ4" s="1607" t="s">
        <v>287</v>
      </c>
      <c r="DA4" s="1608" t="s">
        <v>288</v>
      </c>
    </row>
    <row r="5" spans="1:106" ht="15">
      <c r="A5" s="62" t="s">
        <v>6</v>
      </c>
      <c r="B5" s="63">
        <v>51917</v>
      </c>
      <c r="C5" s="64">
        <v>55172</v>
      </c>
      <c r="D5" s="64">
        <v>162526</v>
      </c>
      <c r="E5" s="65">
        <v>172723</v>
      </c>
      <c r="F5" s="66">
        <v>-6</v>
      </c>
      <c r="G5" s="67">
        <v>-10</v>
      </c>
      <c r="H5" s="67">
        <v>-15</v>
      </c>
      <c r="I5" s="68">
        <v>-42</v>
      </c>
      <c r="J5" s="66">
        <v>3339</v>
      </c>
      <c r="K5" s="67">
        <v>11189</v>
      </c>
      <c r="L5" s="67">
        <v>9881</v>
      </c>
      <c r="M5" s="68">
        <v>22900</v>
      </c>
      <c r="N5" s="69">
        <v>54025</v>
      </c>
      <c r="O5" s="67">
        <v>52733</v>
      </c>
      <c r="P5" s="67">
        <v>161302</v>
      </c>
      <c r="Q5" s="68">
        <v>180636</v>
      </c>
      <c r="R5" s="66">
        <v>23130</v>
      </c>
      <c r="S5" s="67">
        <v>19518</v>
      </c>
      <c r="T5" s="67">
        <v>71418</v>
      </c>
      <c r="U5" s="68">
        <v>51185</v>
      </c>
      <c r="V5" s="70"/>
      <c r="W5" s="59"/>
      <c r="X5" s="59"/>
      <c r="Y5" s="71"/>
      <c r="Z5" s="66">
        <v>4705</v>
      </c>
      <c r="AA5" s="67">
        <v>8481</v>
      </c>
      <c r="AB5" s="67">
        <v>21037</v>
      </c>
      <c r="AC5" s="68">
        <v>27744</v>
      </c>
      <c r="AD5" s="66">
        <v>17804</v>
      </c>
      <c r="AE5" s="67">
        <v>19040</v>
      </c>
      <c r="AF5" s="67">
        <v>46727</v>
      </c>
      <c r="AG5" s="68">
        <v>43420</v>
      </c>
      <c r="AH5" s="66">
        <v>31938</v>
      </c>
      <c r="AI5" s="67">
        <v>30708</v>
      </c>
      <c r="AJ5" s="67">
        <v>89631</v>
      </c>
      <c r="AK5" s="68">
        <v>97253</v>
      </c>
      <c r="AL5" s="66">
        <v>3267</v>
      </c>
      <c r="AM5" s="67">
        <v>4945</v>
      </c>
      <c r="AN5" s="67">
        <v>11038</v>
      </c>
      <c r="AO5" s="68">
        <v>14667</v>
      </c>
      <c r="AP5" s="66">
        <v>52374</v>
      </c>
      <c r="AQ5" s="67">
        <v>49266</v>
      </c>
      <c r="AR5" s="67">
        <v>148305</v>
      </c>
      <c r="AS5" s="68">
        <v>139067</v>
      </c>
      <c r="AT5" s="66">
        <v>54245</v>
      </c>
      <c r="AU5" s="67">
        <v>55185</v>
      </c>
      <c r="AV5" s="67">
        <v>180067</v>
      </c>
      <c r="AW5" s="68">
        <v>201789</v>
      </c>
      <c r="AX5" s="72">
        <v>2921</v>
      </c>
      <c r="AY5" s="58">
        <v>3088</v>
      </c>
      <c r="AZ5" s="58">
        <v>10120</v>
      </c>
      <c r="BA5" s="73">
        <v>9843</v>
      </c>
      <c r="BB5" s="66">
        <v>2098</v>
      </c>
      <c r="BC5" s="67">
        <v>4429</v>
      </c>
      <c r="BD5" s="67">
        <v>5798</v>
      </c>
      <c r="BE5" s="68">
        <v>8766</v>
      </c>
      <c r="BF5" s="66">
        <v>55404</v>
      </c>
      <c r="BG5" s="67">
        <v>49447</v>
      </c>
      <c r="BH5" s="67">
        <v>160175</v>
      </c>
      <c r="BI5" s="68">
        <v>146698</v>
      </c>
      <c r="BJ5" s="66">
        <v>55478</v>
      </c>
      <c r="BK5" s="67">
        <v>42096</v>
      </c>
      <c r="BL5" s="67">
        <v>159875</v>
      </c>
      <c r="BM5" s="68">
        <v>129846</v>
      </c>
      <c r="BN5" s="66">
        <v>2776</v>
      </c>
      <c r="BO5" s="67">
        <v>3586</v>
      </c>
      <c r="BP5" s="67">
        <v>8564</v>
      </c>
      <c r="BQ5" s="68">
        <v>9470</v>
      </c>
      <c r="BR5" s="287">
        <v>32800</v>
      </c>
      <c r="BS5" s="288">
        <v>45232</v>
      </c>
      <c r="BT5" s="288">
        <v>117216</v>
      </c>
      <c r="BU5" s="698">
        <v>141472</v>
      </c>
      <c r="BV5" s="701"/>
      <c r="BW5" s="475"/>
      <c r="BX5" s="475"/>
      <c r="BY5" s="476"/>
      <c r="BZ5" s="699">
        <v>193294</v>
      </c>
      <c r="CA5" s="695">
        <v>186704</v>
      </c>
      <c r="CB5" s="695">
        <v>562730</v>
      </c>
      <c r="CC5" s="696">
        <v>526055</v>
      </c>
      <c r="CD5" s="74">
        <v>2337</v>
      </c>
      <c r="CE5" s="75">
        <v>2484</v>
      </c>
      <c r="CF5" s="75">
        <v>7947</v>
      </c>
      <c r="CG5" s="76">
        <v>10755</v>
      </c>
      <c r="CH5" s="77">
        <v>126</v>
      </c>
      <c r="CI5" s="78">
        <v>275</v>
      </c>
      <c r="CJ5" s="78">
        <v>391</v>
      </c>
      <c r="CK5" s="79">
        <v>821</v>
      </c>
      <c r="CL5" s="69">
        <v>42050</v>
      </c>
      <c r="CM5" s="67">
        <v>42166</v>
      </c>
      <c r="CN5" s="67">
        <v>122754</v>
      </c>
      <c r="CO5" s="68">
        <v>100874</v>
      </c>
      <c r="CP5" s="691">
        <f>SUM(B5+F5+J5+N5+R5+V5+Z5+AD5+AH5+AL5+AP5+AT5+AX5+BB5+BF5+BJ5+BN5+BR5+BV5+BZ5+CD5+CH5+CL5)</f>
        <v>686022</v>
      </c>
      <c r="CQ5" s="56">
        <f>SUM(C5+G5+K5+O5+S5+W5+AA5+AE5+AI5+AM5+AQ5+AU5+AY5+BC5+BG5+BK5+BO5+BS5+BW5+CA5+CE5+CI5+CM5)</f>
        <v>685734</v>
      </c>
      <c r="CR5" s="56">
        <f aca="true" t="shared" si="0" ref="CR5:CS18">SUM(D5+H5+L5+P5+T5+X5+AB5+AF5+AJ5+AN5+AR5+AV5+AZ5+BD5+BH5+BL5+BP5+BT5+BX5+CB5+CF5+CJ5+CN5)</f>
        <v>2057487</v>
      </c>
      <c r="CS5" s="332">
        <f t="shared" si="0"/>
        <v>2035942</v>
      </c>
      <c r="CT5" s="692">
        <v>7836017</v>
      </c>
      <c r="CU5" s="78">
        <v>8001491</v>
      </c>
      <c r="CV5" s="78">
        <v>20489434</v>
      </c>
      <c r="CW5" s="79">
        <v>20466518</v>
      </c>
      <c r="CX5" s="80">
        <f>CP5+CT5</f>
        <v>8522039</v>
      </c>
      <c r="CY5" s="80">
        <f aca="true" t="shared" si="1" ref="CY5:DA18">CQ5+CU5</f>
        <v>8687225</v>
      </c>
      <c r="CZ5" s="80">
        <f t="shared" si="1"/>
        <v>22546921</v>
      </c>
      <c r="DA5" s="81">
        <f t="shared" si="1"/>
        <v>22502460</v>
      </c>
      <c r="DB5" s="82"/>
    </row>
    <row r="6" spans="1:105" ht="15">
      <c r="A6" s="62" t="s">
        <v>7</v>
      </c>
      <c r="B6" s="83">
        <v>36626</v>
      </c>
      <c r="C6" s="16">
        <v>10391</v>
      </c>
      <c r="D6" s="16">
        <v>87934</v>
      </c>
      <c r="E6" s="84">
        <v>24516</v>
      </c>
      <c r="F6" s="30">
        <v>2808</v>
      </c>
      <c r="G6" s="26">
        <v>449</v>
      </c>
      <c r="H6" s="26">
        <v>3285</v>
      </c>
      <c r="I6" s="31">
        <v>920</v>
      </c>
      <c r="J6" s="30">
        <v>1793</v>
      </c>
      <c r="K6" s="26">
        <v>935</v>
      </c>
      <c r="L6" s="26">
        <v>10232</v>
      </c>
      <c r="M6" s="31">
        <v>3716</v>
      </c>
      <c r="N6" s="28">
        <v>25253</v>
      </c>
      <c r="O6" s="26">
        <v>22780</v>
      </c>
      <c r="P6" s="26">
        <v>55084</v>
      </c>
      <c r="Q6" s="31">
        <v>74484</v>
      </c>
      <c r="R6" s="30">
        <v>20</v>
      </c>
      <c r="S6" s="26">
        <v>28</v>
      </c>
      <c r="T6" s="26">
        <v>52</v>
      </c>
      <c r="U6" s="31">
        <v>73</v>
      </c>
      <c r="V6" s="30">
        <v>45177</v>
      </c>
      <c r="W6" s="26">
        <v>31014</v>
      </c>
      <c r="X6" s="26">
        <v>120909</v>
      </c>
      <c r="Y6" s="31">
        <v>101811</v>
      </c>
      <c r="Z6" s="30">
        <v>1381</v>
      </c>
      <c r="AA6" s="26">
        <v>1714</v>
      </c>
      <c r="AB6" s="26">
        <v>4267</v>
      </c>
      <c r="AC6" s="31">
        <v>4044</v>
      </c>
      <c r="AD6" s="30">
        <v>2996</v>
      </c>
      <c r="AE6" s="26">
        <v>2175</v>
      </c>
      <c r="AF6" s="26">
        <v>6602</v>
      </c>
      <c r="AG6" s="31">
        <v>4761</v>
      </c>
      <c r="AH6" s="30">
        <v>6361</v>
      </c>
      <c r="AI6" s="26">
        <v>4988</v>
      </c>
      <c r="AJ6" s="26">
        <v>16941</v>
      </c>
      <c r="AK6" s="31">
        <v>11284</v>
      </c>
      <c r="AL6" s="30">
        <v>10478</v>
      </c>
      <c r="AM6" s="26">
        <v>839</v>
      </c>
      <c r="AN6" s="26">
        <v>23067</v>
      </c>
      <c r="AO6" s="31">
        <v>2796</v>
      </c>
      <c r="AP6" s="30">
        <v>131083</v>
      </c>
      <c r="AQ6" s="26">
        <v>183732</v>
      </c>
      <c r="AR6" s="26">
        <v>404205</v>
      </c>
      <c r="AS6" s="31">
        <v>514538</v>
      </c>
      <c r="AT6" s="30">
        <v>141285</v>
      </c>
      <c r="AU6" s="26">
        <v>117183</v>
      </c>
      <c r="AV6" s="26">
        <v>486135</v>
      </c>
      <c r="AW6" s="31">
        <v>393720</v>
      </c>
      <c r="AX6" s="85">
        <v>26440</v>
      </c>
      <c r="AY6" s="33">
        <v>31922</v>
      </c>
      <c r="AZ6" s="33">
        <v>88679</v>
      </c>
      <c r="BA6" s="34">
        <v>99941</v>
      </c>
      <c r="BB6" s="30">
        <v>45494</v>
      </c>
      <c r="BC6" s="26">
        <v>45567</v>
      </c>
      <c r="BD6" s="26">
        <v>134733</v>
      </c>
      <c r="BE6" s="31">
        <v>129021</v>
      </c>
      <c r="BF6" s="30">
        <v>52946</v>
      </c>
      <c r="BG6" s="26">
        <v>52614</v>
      </c>
      <c r="BH6" s="26">
        <v>104253</v>
      </c>
      <c r="BI6" s="31">
        <v>106462</v>
      </c>
      <c r="BJ6" s="30">
        <v>145472</v>
      </c>
      <c r="BK6" s="26">
        <v>140802</v>
      </c>
      <c r="BL6" s="26">
        <v>364039</v>
      </c>
      <c r="BM6" s="31">
        <v>339124</v>
      </c>
      <c r="BN6" s="30">
        <v>46548</v>
      </c>
      <c r="BO6" s="26">
        <v>46420</v>
      </c>
      <c r="BP6" s="26">
        <v>142316</v>
      </c>
      <c r="BQ6" s="31">
        <v>154047</v>
      </c>
      <c r="BR6" s="287">
        <v>3165</v>
      </c>
      <c r="BS6" s="288">
        <v>3221</v>
      </c>
      <c r="BT6" s="288">
        <v>9634</v>
      </c>
      <c r="BU6" s="27">
        <v>3502</v>
      </c>
      <c r="BV6" s="702"/>
      <c r="BW6" s="3"/>
      <c r="BX6" s="3"/>
      <c r="BY6" s="4"/>
      <c r="BZ6" s="23">
        <v>280476</v>
      </c>
      <c r="CA6" s="24">
        <v>253899</v>
      </c>
      <c r="CB6" s="24">
        <v>932799</v>
      </c>
      <c r="CC6" s="25">
        <v>878615</v>
      </c>
      <c r="CD6" s="36">
        <v>283</v>
      </c>
      <c r="CE6" s="37">
        <v>162</v>
      </c>
      <c r="CF6" s="37">
        <v>709</v>
      </c>
      <c r="CG6" s="38">
        <v>247</v>
      </c>
      <c r="CH6" s="39">
        <v>29646</v>
      </c>
      <c r="CI6" s="40">
        <v>33431</v>
      </c>
      <c r="CJ6" s="40">
        <v>94156</v>
      </c>
      <c r="CK6" s="41">
        <v>111298</v>
      </c>
      <c r="CL6" s="28">
        <v>48035</v>
      </c>
      <c r="CM6" s="26">
        <v>27417</v>
      </c>
      <c r="CN6" s="26">
        <v>116152</v>
      </c>
      <c r="CO6" s="31">
        <v>59846</v>
      </c>
      <c r="CP6" s="691">
        <f aca="true" t="shared" si="2" ref="CP6:CQ18">SUM(B6+F6+J6+N6+R6+V6+Z6+AD6+AH6+AL6+AP6+AT6+AX6+BB6+BF6+BJ6+BN6+BR6+BV6+BZ6+CD6+CH6+CL6)</f>
        <v>1083766</v>
      </c>
      <c r="CQ6" s="56">
        <f t="shared" si="2"/>
        <v>1011683</v>
      </c>
      <c r="CR6" s="56">
        <f t="shared" si="0"/>
        <v>3206183</v>
      </c>
      <c r="CS6" s="332">
        <f t="shared" si="0"/>
        <v>3018766</v>
      </c>
      <c r="CT6" s="346">
        <v>70417</v>
      </c>
      <c r="CU6" s="40">
        <v>71363</v>
      </c>
      <c r="CV6" s="40">
        <v>190423</v>
      </c>
      <c r="CW6" s="41">
        <v>180614</v>
      </c>
      <c r="CX6" s="80">
        <f aca="true" t="shared" si="3" ref="CX6:CX18">CP6+CT6</f>
        <v>1154183</v>
      </c>
      <c r="CY6" s="80">
        <f t="shared" si="1"/>
        <v>1083046</v>
      </c>
      <c r="CZ6" s="80">
        <f t="shared" si="1"/>
        <v>3396606</v>
      </c>
      <c r="DA6" s="81">
        <f t="shared" si="1"/>
        <v>3199380</v>
      </c>
    </row>
    <row r="7" spans="1:105" ht="15">
      <c r="A7" s="62" t="s">
        <v>8</v>
      </c>
      <c r="B7" s="83">
        <v>-13</v>
      </c>
      <c r="C7" s="16">
        <v>1613</v>
      </c>
      <c r="D7" s="16">
        <v>23</v>
      </c>
      <c r="E7" s="84">
        <v>4935</v>
      </c>
      <c r="F7" s="30">
        <v>213</v>
      </c>
      <c r="G7" s="26">
        <v>690</v>
      </c>
      <c r="H7" s="26">
        <v>438</v>
      </c>
      <c r="I7" s="31">
        <v>4027</v>
      </c>
      <c r="J7" s="30">
        <v>755</v>
      </c>
      <c r="K7" s="26">
        <v>481</v>
      </c>
      <c r="L7" s="26">
        <v>1885</v>
      </c>
      <c r="M7" s="31">
        <v>792</v>
      </c>
      <c r="N7" s="28">
        <v>9881</v>
      </c>
      <c r="O7" s="26">
        <v>5209</v>
      </c>
      <c r="P7" s="26">
        <v>24827</v>
      </c>
      <c r="Q7" s="31">
        <v>11453</v>
      </c>
      <c r="R7" s="30">
        <v>4766</v>
      </c>
      <c r="S7" s="26">
        <v>3607</v>
      </c>
      <c r="T7" s="26">
        <v>18519</v>
      </c>
      <c r="U7" s="31">
        <v>8493</v>
      </c>
      <c r="V7" s="30">
        <v>226</v>
      </c>
      <c r="W7" s="26">
        <v>41</v>
      </c>
      <c r="X7" s="26">
        <v>506</v>
      </c>
      <c r="Y7" s="31">
        <v>41</v>
      </c>
      <c r="Z7" s="30">
        <v>1469</v>
      </c>
      <c r="AA7" s="26">
        <v>7376</v>
      </c>
      <c r="AB7" s="26">
        <v>14335</v>
      </c>
      <c r="AC7" s="31">
        <v>16701</v>
      </c>
      <c r="AD7" s="30">
        <v>2607</v>
      </c>
      <c r="AE7" s="26">
        <v>1344</v>
      </c>
      <c r="AF7" s="26">
        <v>6163</v>
      </c>
      <c r="AG7" s="31">
        <v>3418</v>
      </c>
      <c r="AH7" s="30">
        <v>4443</v>
      </c>
      <c r="AI7" s="26">
        <v>3510</v>
      </c>
      <c r="AJ7" s="26">
        <v>14258</v>
      </c>
      <c r="AK7" s="31">
        <v>14038</v>
      </c>
      <c r="AL7" s="30">
        <v>2794</v>
      </c>
      <c r="AM7" s="26">
        <v>1653</v>
      </c>
      <c r="AN7" s="26">
        <v>8266</v>
      </c>
      <c r="AO7" s="31">
        <v>5153</v>
      </c>
      <c r="AP7" s="30">
        <v>29893</v>
      </c>
      <c r="AQ7" s="26">
        <v>25176</v>
      </c>
      <c r="AR7" s="26">
        <v>87874</v>
      </c>
      <c r="AS7" s="31">
        <v>67884</v>
      </c>
      <c r="AT7" s="30">
        <v>9599</v>
      </c>
      <c r="AU7" s="26">
        <v>16624</v>
      </c>
      <c r="AV7" s="26">
        <v>32991</v>
      </c>
      <c r="AW7" s="31">
        <v>63415</v>
      </c>
      <c r="AX7" s="85"/>
      <c r="AY7" s="33"/>
      <c r="AZ7" s="33"/>
      <c r="BA7" s="34"/>
      <c r="BB7" s="30">
        <v>884</v>
      </c>
      <c r="BC7" s="26">
        <v>4270</v>
      </c>
      <c r="BD7" s="26">
        <v>1603</v>
      </c>
      <c r="BE7" s="31">
        <v>13767</v>
      </c>
      <c r="BF7" s="30">
        <v>93</v>
      </c>
      <c r="BG7" s="26">
        <v>218</v>
      </c>
      <c r="BH7" s="26">
        <v>288</v>
      </c>
      <c r="BI7" s="31">
        <v>2144</v>
      </c>
      <c r="BJ7" s="30">
        <v>5068</v>
      </c>
      <c r="BK7" s="26">
        <v>5421</v>
      </c>
      <c r="BL7" s="26">
        <v>15220</v>
      </c>
      <c r="BM7" s="31">
        <v>13486</v>
      </c>
      <c r="BN7" s="30"/>
      <c r="BO7" s="26">
        <v>72</v>
      </c>
      <c r="BP7" s="26"/>
      <c r="BQ7" s="31">
        <v>95</v>
      </c>
      <c r="BR7" s="287">
        <v>5195</v>
      </c>
      <c r="BS7" s="288">
        <v>943</v>
      </c>
      <c r="BT7" s="288">
        <v>17143</v>
      </c>
      <c r="BU7" s="27">
        <v>9422</v>
      </c>
      <c r="BV7" s="702"/>
      <c r="BW7" s="3"/>
      <c r="BX7" s="3"/>
      <c r="BY7" s="4"/>
      <c r="BZ7" s="23">
        <v>8152</v>
      </c>
      <c r="CA7" s="24">
        <v>4518</v>
      </c>
      <c r="CB7" s="24">
        <v>19911</v>
      </c>
      <c r="CC7" s="25">
        <v>12114</v>
      </c>
      <c r="CD7" s="36">
        <v>52118</v>
      </c>
      <c r="CE7" s="37">
        <v>57380</v>
      </c>
      <c r="CF7" s="37">
        <v>173798</v>
      </c>
      <c r="CG7" s="38">
        <v>156888</v>
      </c>
      <c r="CH7" s="39"/>
      <c r="CI7" s="40"/>
      <c r="CJ7" s="40"/>
      <c r="CK7" s="41"/>
      <c r="CL7" s="28">
        <v>1803</v>
      </c>
      <c r="CM7" s="26">
        <v>1175</v>
      </c>
      <c r="CN7" s="26">
        <v>4209</v>
      </c>
      <c r="CO7" s="31">
        <v>2115</v>
      </c>
      <c r="CP7" s="691">
        <f t="shared" si="2"/>
        <v>139946</v>
      </c>
      <c r="CQ7" s="56">
        <f t="shared" si="2"/>
        <v>141321</v>
      </c>
      <c r="CR7" s="56">
        <f t="shared" si="0"/>
        <v>442257</v>
      </c>
      <c r="CS7" s="332">
        <f t="shared" si="0"/>
        <v>410381</v>
      </c>
      <c r="CT7" s="346">
        <v>11702</v>
      </c>
      <c r="CU7" s="40">
        <v>8209</v>
      </c>
      <c r="CV7" s="40">
        <v>37168</v>
      </c>
      <c r="CW7" s="41">
        <v>28266</v>
      </c>
      <c r="CX7" s="80">
        <f t="shared" si="3"/>
        <v>151648</v>
      </c>
      <c r="CY7" s="80">
        <f t="shared" si="1"/>
        <v>149530</v>
      </c>
      <c r="CZ7" s="80">
        <f t="shared" si="1"/>
        <v>479425</v>
      </c>
      <c r="DA7" s="81">
        <f t="shared" si="1"/>
        <v>438647</v>
      </c>
    </row>
    <row r="8" spans="1:105" ht="15">
      <c r="A8" s="62" t="s">
        <v>9</v>
      </c>
      <c r="B8" s="83">
        <v>1988</v>
      </c>
      <c r="C8" s="16">
        <v>1680</v>
      </c>
      <c r="D8" s="16">
        <v>5711</v>
      </c>
      <c r="E8" s="84">
        <v>4567</v>
      </c>
      <c r="F8" s="30">
        <v>207</v>
      </c>
      <c r="G8" s="26">
        <v>341</v>
      </c>
      <c r="H8" s="26">
        <v>744</v>
      </c>
      <c r="I8" s="31">
        <v>833</v>
      </c>
      <c r="J8" s="30">
        <v>175</v>
      </c>
      <c r="K8" s="26">
        <v>634</v>
      </c>
      <c r="L8" s="26">
        <v>2008</v>
      </c>
      <c r="M8" s="31">
        <v>1117</v>
      </c>
      <c r="N8" s="28">
        <v>5289</v>
      </c>
      <c r="O8" s="26">
        <v>4194</v>
      </c>
      <c r="P8" s="26">
        <v>15768</v>
      </c>
      <c r="Q8" s="31">
        <v>10485</v>
      </c>
      <c r="R8" s="30">
        <v>13782</v>
      </c>
      <c r="S8" s="26">
        <v>11567</v>
      </c>
      <c r="T8" s="26">
        <v>40865</v>
      </c>
      <c r="U8" s="31">
        <v>31312</v>
      </c>
      <c r="V8" s="30"/>
      <c r="W8" s="26"/>
      <c r="X8" s="26"/>
      <c r="Y8" s="31"/>
      <c r="Z8" s="30">
        <v>-3</v>
      </c>
      <c r="AA8" s="26">
        <v>-3</v>
      </c>
      <c r="AB8" s="26">
        <v>-33</v>
      </c>
      <c r="AC8" s="31">
        <v>-46</v>
      </c>
      <c r="AD8" s="30">
        <v>710</v>
      </c>
      <c r="AE8" s="26">
        <v>382</v>
      </c>
      <c r="AF8" s="26">
        <v>1947</v>
      </c>
      <c r="AG8" s="31">
        <v>816</v>
      </c>
      <c r="AH8" s="30">
        <v>21355</v>
      </c>
      <c r="AI8" s="26">
        <v>15603</v>
      </c>
      <c r="AJ8" s="26">
        <v>59583</v>
      </c>
      <c r="AK8" s="31">
        <v>48287</v>
      </c>
      <c r="AL8" s="30">
        <v>733</v>
      </c>
      <c r="AM8" s="26">
        <v>1306</v>
      </c>
      <c r="AN8" s="26">
        <v>528</v>
      </c>
      <c r="AO8" s="31">
        <v>6819</v>
      </c>
      <c r="AP8" s="30">
        <v>12157</v>
      </c>
      <c r="AQ8" s="26">
        <v>12401</v>
      </c>
      <c r="AR8" s="26">
        <v>39973</v>
      </c>
      <c r="AS8" s="31">
        <v>44496</v>
      </c>
      <c r="AT8" s="30">
        <v>16017</v>
      </c>
      <c r="AU8" s="26">
        <v>13529</v>
      </c>
      <c r="AV8" s="26">
        <v>43345</v>
      </c>
      <c r="AW8" s="31">
        <v>40047</v>
      </c>
      <c r="AX8" s="85">
        <v>-3</v>
      </c>
      <c r="AY8" s="33">
        <v>1667</v>
      </c>
      <c r="AZ8" s="33">
        <v>799</v>
      </c>
      <c r="BA8" s="34">
        <v>4585</v>
      </c>
      <c r="BB8" s="30">
        <v>966</v>
      </c>
      <c r="BC8" s="26">
        <v>923</v>
      </c>
      <c r="BD8" s="26">
        <v>4212</v>
      </c>
      <c r="BE8" s="31">
        <v>1983</v>
      </c>
      <c r="BF8" s="30">
        <v>3597</v>
      </c>
      <c r="BG8" s="26">
        <v>1799</v>
      </c>
      <c r="BH8" s="26">
        <v>6520</v>
      </c>
      <c r="BI8" s="31">
        <v>5467</v>
      </c>
      <c r="BJ8" s="30">
        <v>-10</v>
      </c>
      <c r="BK8" s="26">
        <v>-7</v>
      </c>
      <c r="BL8" s="26">
        <v>-26</v>
      </c>
      <c r="BM8" s="31">
        <v>-24</v>
      </c>
      <c r="BN8" s="30">
        <v>1372</v>
      </c>
      <c r="BO8" s="26">
        <v>499</v>
      </c>
      <c r="BP8" s="26">
        <v>3930</v>
      </c>
      <c r="BQ8" s="31">
        <v>1604</v>
      </c>
      <c r="BR8" s="287">
        <v>5125</v>
      </c>
      <c r="BS8" s="288">
        <v>3538</v>
      </c>
      <c r="BT8" s="288">
        <v>16953</v>
      </c>
      <c r="BU8" s="27">
        <v>10006</v>
      </c>
      <c r="BV8" s="702"/>
      <c r="BW8" s="3"/>
      <c r="BX8" s="3"/>
      <c r="BY8" s="4"/>
      <c r="BZ8" s="700">
        <v>23</v>
      </c>
      <c r="CA8" s="694">
        <v>87</v>
      </c>
      <c r="CB8" s="694">
        <v>208</v>
      </c>
      <c r="CC8" s="697">
        <v>274</v>
      </c>
      <c r="CD8" s="36">
        <v>2262</v>
      </c>
      <c r="CE8" s="37">
        <v>2902</v>
      </c>
      <c r="CF8" s="37">
        <v>6643</v>
      </c>
      <c r="CG8" s="38">
        <v>6241</v>
      </c>
      <c r="CH8" s="39"/>
      <c r="CI8" s="40">
        <v>-2</v>
      </c>
      <c r="CJ8" s="40">
        <v>-1</v>
      </c>
      <c r="CK8" s="41">
        <v>-5</v>
      </c>
      <c r="CL8" s="28">
        <v>13693</v>
      </c>
      <c r="CM8" s="26">
        <v>4827</v>
      </c>
      <c r="CN8" s="26">
        <v>31385</v>
      </c>
      <c r="CO8" s="31">
        <v>17805</v>
      </c>
      <c r="CP8" s="691">
        <f t="shared" si="2"/>
        <v>99435</v>
      </c>
      <c r="CQ8" s="56">
        <f t="shared" si="2"/>
        <v>77867</v>
      </c>
      <c r="CR8" s="56">
        <f t="shared" si="0"/>
        <v>281062</v>
      </c>
      <c r="CS8" s="332">
        <f t="shared" si="0"/>
        <v>236669</v>
      </c>
      <c r="CT8" s="346">
        <v>692</v>
      </c>
      <c r="CU8" s="40">
        <v>382</v>
      </c>
      <c r="CV8" s="40">
        <v>1611</v>
      </c>
      <c r="CW8" s="41">
        <v>1476</v>
      </c>
      <c r="CX8" s="80">
        <f t="shared" si="3"/>
        <v>100127</v>
      </c>
      <c r="CY8" s="80">
        <f t="shared" si="1"/>
        <v>78249</v>
      </c>
      <c r="CZ8" s="80">
        <f t="shared" si="1"/>
        <v>282673</v>
      </c>
      <c r="DA8" s="81">
        <f t="shared" si="1"/>
        <v>238145</v>
      </c>
    </row>
    <row r="9" spans="1:105" ht="15">
      <c r="A9" s="62" t="s">
        <v>10</v>
      </c>
      <c r="B9" s="83">
        <v>4333</v>
      </c>
      <c r="C9" s="16">
        <v>2198</v>
      </c>
      <c r="D9" s="16">
        <v>14827</v>
      </c>
      <c r="E9" s="84">
        <v>26622</v>
      </c>
      <c r="F9" s="30"/>
      <c r="G9" s="26"/>
      <c r="H9" s="26"/>
      <c r="I9" s="31"/>
      <c r="J9" s="30"/>
      <c r="K9" s="26"/>
      <c r="L9" s="26"/>
      <c r="M9" s="31"/>
      <c r="N9" s="28">
        <v>5</v>
      </c>
      <c r="O9" s="26">
        <v>1</v>
      </c>
      <c r="P9" s="26">
        <v>73</v>
      </c>
      <c r="Q9" s="31">
        <v>472</v>
      </c>
      <c r="R9" s="30"/>
      <c r="S9" s="26"/>
      <c r="T9" s="26"/>
      <c r="U9" s="31"/>
      <c r="V9" s="30"/>
      <c r="W9" s="26"/>
      <c r="X9" s="26"/>
      <c r="Y9" s="31"/>
      <c r="Z9" s="30"/>
      <c r="AA9" s="26"/>
      <c r="AB9" s="26"/>
      <c r="AC9" s="31"/>
      <c r="AD9" s="30">
        <v>149</v>
      </c>
      <c r="AE9" s="26">
        <v>64</v>
      </c>
      <c r="AF9" s="26">
        <v>429</v>
      </c>
      <c r="AG9" s="31">
        <v>329</v>
      </c>
      <c r="AH9" s="30"/>
      <c r="AI9" s="26"/>
      <c r="AJ9" s="26"/>
      <c r="AK9" s="31"/>
      <c r="AL9" s="30"/>
      <c r="AM9" s="26"/>
      <c r="AN9" s="26"/>
      <c r="AO9" s="31"/>
      <c r="AP9" s="30"/>
      <c r="AQ9" s="26"/>
      <c r="AR9" s="26"/>
      <c r="AS9" s="31"/>
      <c r="AT9" s="30"/>
      <c r="AU9" s="26"/>
      <c r="AV9" s="26"/>
      <c r="AW9" s="31"/>
      <c r="AX9" s="85"/>
      <c r="AY9" s="33"/>
      <c r="AZ9" s="33"/>
      <c r="BA9" s="34"/>
      <c r="BB9" s="30">
        <v>0</v>
      </c>
      <c r="BC9" s="26">
        <v>0</v>
      </c>
      <c r="BD9" s="26">
        <v>0</v>
      </c>
      <c r="BE9" s="31">
        <v>0</v>
      </c>
      <c r="BF9" s="1568">
        <v>254</v>
      </c>
      <c r="BG9" s="348">
        <v>864</v>
      </c>
      <c r="BH9" s="348">
        <v>1403</v>
      </c>
      <c r="BI9" s="662">
        <v>1309</v>
      </c>
      <c r="BJ9" s="30"/>
      <c r="BK9" s="26"/>
      <c r="BL9" s="26"/>
      <c r="BM9" s="31"/>
      <c r="BN9" s="30"/>
      <c r="BO9" s="26"/>
      <c r="BP9" s="26"/>
      <c r="BQ9" s="31"/>
      <c r="BR9" s="287"/>
      <c r="BS9" s="288"/>
      <c r="BT9" s="288"/>
      <c r="BU9" s="27"/>
      <c r="BV9" s="702"/>
      <c r="BW9" s="3"/>
      <c r="BX9" s="3"/>
      <c r="BY9" s="4"/>
      <c r="BZ9" s="45"/>
      <c r="CA9" s="107"/>
      <c r="CB9" s="107"/>
      <c r="CC9" s="108"/>
      <c r="CD9" s="36"/>
      <c r="CE9" s="37"/>
      <c r="CF9" s="37"/>
      <c r="CG9" s="38"/>
      <c r="CH9" s="39"/>
      <c r="CI9" s="40"/>
      <c r="CJ9" s="40"/>
      <c r="CK9" s="41"/>
      <c r="CL9" s="28">
        <v>32065</v>
      </c>
      <c r="CM9" s="26">
        <v>14272</v>
      </c>
      <c r="CN9" s="26">
        <v>56796</v>
      </c>
      <c r="CO9" s="31">
        <v>25912</v>
      </c>
      <c r="CP9" s="69">
        <f t="shared" si="2"/>
        <v>36806</v>
      </c>
      <c r="CQ9" s="67">
        <f t="shared" si="2"/>
        <v>17399</v>
      </c>
      <c r="CR9" s="67">
        <f t="shared" si="0"/>
        <v>73528</v>
      </c>
      <c r="CS9" s="68">
        <f t="shared" si="0"/>
        <v>54644</v>
      </c>
      <c r="CT9" s="28">
        <v>271998</v>
      </c>
      <c r="CU9" s="26">
        <v>223845</v>
      </c>
      <c r="CV9" s="26">
        <v>617653</v>
      </c>
      <c r="CW9" s="31">
        <v>564541</v>
      </c>
      <c r="CX9" s="66">
        <f t="shared" si="3"/>
        <v>308804</v>
      </c>
      <c r="CY9" s="66">
        <f t="shared" si="1"/>
        <v>241244</v>
      </c>
      <c r="CZ9" s="66">
        <f t="shared" si="1"/>
        <v>691181</v>
      </c>
      <c r="DA9" s="1577">
        <f t="shared" si="1"/>
        <v>619185</v>
      </c>
    </row>
    <row r="10" spans="1:105" ht="15">
      <c r="A10" s="62" t="s">
        <v>18</v>
      </c>
      <c r="B10" s="83"/>
      <c r="C10" s="16"/>
      <c r="D10" s="16"/>
      <c r="E10" s="84"/>
      <c r="F10" s="30"/>
      <c r="G10" s="26"/>
      <c r="H10" s="26"/>
      <c r="I10" s="31"/>
      <c r="J10" s="30"/>
      <c r="K10" s="26"/>
      <c r="L10" s="26"/>
      <c r="M10" s="31"/>
      <c r="N10" s="28"/>
      <c r="O10" s="26"/>
      <c r="P10" s="26"/>
      <c r="Q10" s="31"/>
      <c r="R10" s="30"/>
      <c r="S10" s="26"/>
      <c r="T10" s="26"/>
      <c r="U10" s="31"/>
      <c r="V10" s="30"/>
      <c r="W10" s="26"/>
      <c r="X10" s="26"/>
      <c r="Y10" s="31"/>
      <c r="Z10" s="30"/>
      <c r="AA10" s="26"/>
      <c r="AB10" s="26"/>
      <c r="AC10" s="31"/>
      <c r="AD10" s="30"/>
      <c r="AE10" s="26"/>
      <c r="AF10" s="26"/>
      <c r="AG10" s="31"/>
      <c r="AH10" s="30"/>
      <c r="AI10" s="26"/>
      <c r="AJ10" s="26"/>
      <c r="AK10" s="31"/>
      <c r="AL10" s="30"/>
      <c r="AM10" s="26"/>
      <c r="AN10" s="26"/>
      <c r="AO10" s="31"/>
      <c r="AP10" s="30"/>
      <c r="AQ10" s="26"/>
      <c r="AR10" s="26"/>
      <c r="AS10" s="31">
        <v>27</v>
      </c>
      <c r="AT10" s="30"/>
      <c r="AU10" s="26"/>
      <c r="AV10" s="26"/>
      <c r="AW10" s="31"/>
      <c r="AX10" s="28"/>
      <c r="AY10" s="26"/>
      <c r="AZ10" s="26"/>
      <c r="BA10" s="31"/>
      <c r="BB10" s="30">
        <v>7742</v>
      </c>
      <c r="BC10" s="26">
        <v>16414</v>
      </c>
      <c r="BD10" s="26">
        <v>27048</v>
      </c>
      <c r="BE10" s="31">
        <v>24214</v>
      </c>
      <c r="BF10" s="30">
        <v>25662</v>
      </c>
      <c r="BG10" s="26">
        <v>34894</v>
      </c>
      <c r="BH10" s="26">
        <v>71241</v>
      </c>
      <c r="BI10" s="31">
        <v>75502</v>
      </c>
      <c r="BJ10" s="30"/>
      <c r="BK10" s="26"/>
      <c r="BL10" s="26"/>
      <c r="BM10" s="31"/>
      <c r="BN10" s="30"/>
      <c r="BO10" s="26"/>
      <c r="BP10" s="26"/>
      <c r="BQ10" s="31"/>
      <c r="BR10" s="287"/>
      <c r="BS10" s="288"/>
      <c r="BT10" s="288"/>
      <c r="BU10" s="27"/>
      <c r="BV10" s="702"/>
      <c r="BW10" s="3"/>
      <c r="BX10" s="3"/>
      <c r="BY10" s="4"/>
      <c r="BZ10" s="45"/>
      <c r="CA10" s="107"/>
      <c r="CB10" s="107"/>
      <c r="CC10" s="108">
        <v>88</v>
      </c>
      <c r="CD10" s="36"/>
      <c r="CE10" s="37"/>
      <c r="CF10" s="37"/>
      <c r="CG10" s="38"/>
      <c r="CH10" s="39"/>
      <c r="CI10" s="40"/>
      <c r="CJ10" s="40"/>
      <c r="CK10" s="41"/>
      <c r="CL10" s="28"/>
      <c r="CM10" s="26"/>
      <c r="CN10" s="26"/>
      <c r="CO10" s="31"/>
      <c r="CP10" s="691">
        <f t="shared" si="2"/>
        <v>33404</v>
      </c>
      <c r="CQ10" s="56">
        <f t="shared" si="2"/>
        <v>51308</v>
      </c>
      <c r="CR10" s="56">
        <f t="shared" si="0"/>
        <v>98289</v>
      </c>
      <c r="CS10" s="332">
        <f t="shared" si="0"/>
        <v>99831</v>
      </c>
      <c r="CT10" s="346"/>
      <c r="CU10" s="40"/>
      <c r="CV10" s="40"/>
      <c r="CW10" s="41"/>
      <c r="CX10" s="80">
        <f t="shared" si="3"/>
        <v>33404</v>
      </c>
      <c r="CY10" s="80">
        <f t="shared" si="1"/>
        <v>51308</v>
      </c>
      <c r="CZ10" s="80">
        <f t="shared" si="1"/>
        <v>98289</v>
      </c>
      <c r="DA10" s="81">
        <f t="shared" si="1"/>
        <v>99831</v>
      </c>
    </row>
    <row r="11" spans="1:105" ht="15">
      <c r="A11" s="62" t="s">
        <v>11</v>
      </c>
      <c r="B11" s="83">
        <v>4540</v>
      </c>
      <c r="C11" s="16">
        <v>4488</v>
      </c>
      <c r="D11" s="16">
        <v>13836</v>
      </c>
      <c r="E11" s="84">
        <v>14447</v>
      </c>
      <c r="F11" s="30">
        <v>13407</v>
      </c>
      <c r="G11" s="26">
        <v>30391</v>
      </c>
      <c r="H11" s="26">
        <v>48419</v>
      </c>
      <c r="I11" s="31">
        <v>63109</v>
      </c>
      <c r="J11" s="30">
        <v>3141</v>
      </c>
      <c r="K11" s="26">
        <v>2513</v>
      </c>
      <c r="L11" s="26">
        <v>8148</v>
      </c>
      <c r="M11" s="31">
        <v>7756</v>
      </c>
      <c r="N11" s="28">
        <v>8915</v>
      </c>
      <c r="O11" s="26">
        <v>6275</v>
      </c>
      <c r="P11" s="26">
        <v>21762</v>
      </c>
      <c r="Q11" s="31">
        <v>16784</v>
      </c>
      <c r="R11" s="30">
        <v>25171</v>
      </c>
      <c r="S11" s="26">
        <v>21914</v>
      </c>
      <c r="T11" s="26">
        <v>36845</v>
      </c>
      <c r="U11" s="31">
        <v>32867</v>
      </c>
      <c r="V11" s="30">
        <v>2679</v>
      </c>
      <c r="W11" s="26">
        <v>993</v>
      </c>
      <c r="X11" s="26">
        <v>7645</v>
      </c>
      <c r="Y11" s="31">
        <v>2997</v>
      </c>
      <c r="Z11" s="30">
        <v>7123</v>
      </c>
      <c r="AA11" s="26">
        <v>11641</v>
      </c>
      <c r="AB11" s="26">
        <v>31456</v>
      </c>
      <c r="AC11" s="31">
        <v>40580</v>
      </c>
      <c r="AD11" s="30">
        <v>8615</v>
      </c>
      <c r="AE11" s="26">
        <v>7594</v>
      </c>
      <c r="AF11" s="26">
        <v>19163</v>
      </c>
      <c r="AG11" s="31">
        <v>11988</v>
      </c>
      <c r="AH11" s="30">
        <v>2351</v>
      </c>
      <c r="AI11" s="26">
        <v>2169</v>
      </c>
      <c r="AJ11" s="26">
        <v>6731</v>
      </c>
      <c r="AK11" s="31">
        <v>6931</v>
      </c>
      <c r="AL11" s="30">
        <v>10128</v>
      </c>
      <c r="AM11" s="26">
        <v>18767</v>
      </c>
      <c r="AN11" s="26">
        <v>28559</v>
      </c>
      <c r="AO11" s="31">
        <v>50256</v>
      </c>
      <c r="AP11" s="30">
        <v>91827</v>
      </c>
      <c r="AQ11" s="26">
        <v>89065</v>
      </c>
      <c r="AR11" s="26">
        <v>273560</v>
      </c>
      <c r="AS11" s="31">
        <v>283268</v>
      </c>
      <c r="AT11" s="30">
        <v>28052</v>
      </c>
      <c r="AU11" s="26">
        <v>28156</v>
      </c>
      <c r="AV11" s="26">
        <v>95276</v>
      </c>
      <c r="AW11" s="31">
        <v>107734</v>
      </c>
      <c r="AX11" s="28">
        <v>567</v>
      </c>
      <c r="AY11" s="26">
        <v>641</v>
      </c>
      <c r="AZ11" s="26">
        <v>2205</v>
      </c>
      <c r="BA11" s="31">
        <v>2324</v>
      </c>
      <c r="BB11" s="30">
        <v>1661</v>
      </c>
      <c r="BC11" s="26">
        <v>2295</v>
      </c>
      <c r="BD11" s="26">
        <v>4398</v>
      </c>
      <c r="BE11" s="31">
        <v>5118</v>
      </c>
      <c r="BF11" s="30">
        <v>524</v>
      </c>
      <c r="BG11" s="26">
        <v>341</v>
      </c>
      <c r="BH11" s="26">
        <v>1997</v>
      </c>
      <c r="BI11" s="31">
        <v>341</v>
      </c>
      <c r="BJ11" s="30">
        <v>33023</v>
      </c>
      <c r="BK11" s="26">
        <v>23046</v>
      </c>
      <c r="BL11" s="26">
        <v>105774</v>
      </c>
      <c r="BM11" s="31">
        <v>78894</v>
      </c>
      <c r="BN11" s="30">
        <v>18796</v>
      </c>
      <c r="BO11" s="26">
        <v>17106</v>
      </c>
      <c r="BP11" s="26">
        <v>57246</v>
      </c>
      <c r="BQ11" s="31">
        <v>54460</v>
      </c>
      <c r="BR11" s="287">
        <v>20445</v>
      </c>
      <c r="BS11" s="288">
        <v>16398</v>
      </c>
      <c r="BT11" s="288">
        <v>64922</v>
      </c>
      <c r="BU11" s="27">
        <v>52105</v>
      </c>
      <c r="BV11" s="702"/>
      <c r="BW11" s="3"/>
      <c r="BX11" s="3"/>
      <c r="BY11" s="4"/>
      <c r="BZ11" s="23">
        <v>2677</v>
      </c>
      <c r="CA11" s="24">
        <v>2911</v>
      </c>
      <c r="CB11" s="24">
        <v>9791</v>
      </c>
      <c r="CC11" s="25">
        <v>9888</v>
      </c>
      <c r="CD11" s="36">
        <v>31603</v>
      </c>
      <c r="CE11" s="37">
        <v>25299</v>
      </c>
      <c r="CF11" s="37">
        <v>83875</v>
      </c>
      <c r="CG11" s="38">
        <v>71409</v>
      </c>
      <c r="CH11" s="39">
        <v>578</v>
      </c>
      <c r="CI11" s="40">
        <v>311</v>
      </c>
      <c r="CJ11" s="40">
        <v>1453</v>
      </c>
      <c r="CK11" s="41">
        <v>1089</v>
      </c>
      <c r="CL11" s="28">
        <v>6505</v>
      </c>
      <c r="CM11" s="26">
        <v>6345</v>
      </c>
      <c r="CN11" s="26">
        <v>18381</v>
      </c>
      <c r="CO11" s="31">
        <v>16109</v>
      </c>
      <c r="CP11" s="691">
        <f t="shared" si="2"/>
        <v>322328</v>
      </c>
      <c r="CQ11" s="56">
        <f t="shared" si="2"/>
        <v>318659</v>
      </c>
      <c r="CR11" s="56">
        <f t="shared" si="0"/>
        <v>941442</v>
      </c>
      <c r="CS11" s="332">
        <f t="shared" si="0"/>
        <v>930454</v>
      </c>
      <c r="CT11" s="346">
        <v>22320</v>
      </c>
      <c r="CU11" s="40">
        <v>21392</v>
      </c>
      <c r="CV11" s="40">
        <v>66531</v>
      </c>
      <c r="CW11" s="41">
        <v>68805</v>
      </c>
      <c r="CX11" s="80">
        <f t="shared" si="3"/>
        <v>344648</v>
      </c>
      <c r="CY11" s="80">
        <f t="shared" si="1"/>
        <v>340051</v>
      </c>
      <c r="CZ11" s="80">
        <f t="shared" si="1"/>
        <v>1007973</v>
      </c>
      <c r="DA11" s="81">
        <f t="shared" si="1"/>
        <v>999259</v>
      </c>
    </row>
    <row r="12" spans="1:105" ht="15">
      <c r="A12" s="62" t="s">
        <v>19</v>
      </c>
      <c r="B12" s="83"/>
      <c r="C12" s="16"/>
      <c r="D12" s="16"/>
      <c r="E12" s="84"/>
      <c r="F12" s="30"/>
      <c r="G12" s="26"/>
      <c r="H12" s="26"/>
      <c r="I12" s="31"/>
      <c r="J12" s="30"/>
      <c r="K12" s="26"/>
      <c r="L12" s="26"/>
      <c r="M12" s="31"/>
      <c r="N12" s="28"/>
      <c r="O12" s="26"/>
      <c r="P12" s="26"/>
      <c r="Q12" s="31"/>
      <c r="R12" s="30"/>
      <c r="S12" s="26"/>
      <c r="T12" s="26"/>
      <c r="U12" s="31"/>
      <c r="V12" s="30"/>
      <c r="W12" s="26"/>
      <c r="X12" s="26"/>
      <c r="Y12" s="31"/>
      <c r="Z12" s="30"/>
      <c r="AA12" s="26"/>
      <c r="AB12" s="26"/>
      <c r="AC12" s="31"/>
      <c r="AD12" s="30"/>
      <c r="AE12" s="26"/>
      <c r="AF12" s="26"/>
      <c r="AG12" s="31"/>
      <c r="AH12" s="30">
        <v>56</v>
      </c>
      <c r="AI12" s="26"/>
      <c r="AJ12" s="26">
        <v>66</v>
      </c>
      <c r="AK12" s="31"/>
      <c r="AL12" s="30"/>
      <c r="AM12" s="26"/>
      <c r="AN12" s="26"/>
      <c r="AO12" s="31"/>
      <c r="AP12" s="30"/>
      <c r="AQ12" s="26"/>
      <c r="AR12" s="26"/>
      <c r="AS12" s="31"/>
      <c r="AT12" s="30"/>
      <c r="AU12" s="26"/>
      <c r="AV12" s="26"/>
      <c r="AW12" s="31"/>
      <c r="AX12" s="28"/>
      <c r="AY12" s="26"/>
      <c r="AZ12" s="26"/>
      <c r="BA12" s="31"/>
      <c r="BB12" s="30"/>
      <c r="BC12" s="26"/>
      <c r="BD12" s="26"/>
      <c r="BE12" s="31"/>
      <c r="BF12" s="30"/>
      <c r="BG12" s="26"/>
      <c r="BH12" s="26"/>
      <c r="BI12" s="31"/>
      <c r="BJ12" s="30">
        <v>-2</v>
      </c>
      <c r="BK12" s="26">
        <v>6</v>
      </c>
      <c r="BL12" s="26">
        <v>31</v>
      </c>
      <c r="BM12" s="31">
        <v>6</v>
      </c>
      <c r="BN12" s="30"/>
      <c r="BO12" s="26"/>
      <c r="BP12" s="26"/>
      <c r="BQ12" s="31"/>
      <c r="BR12" s="287"/>
      <c r="BS12" s="288"/>
      <c r="BT12" s="288"/>
      <c r="BU12" s="27"/>
      <c r="BV12" s="702"/>
      <c r="BW12" s="3"/>
      <c r="BX12" s="3"/>
      <c r="BY12" s="4"/>
      <c r="BZ12" s="23"/>
      <c r="CA12" s="24"/>
      <c r="CB12" s="24"/>
      <c r="CC12" s="25"/>
      <c r="CD12" s="36"/>
      <c r="CE12" s="37"/>
      <c r="CF12" s="37"/>
      <c r="CG12" s="38"/>
      <c r="CH12" s="39"/>
      <c r="CI12" s="40"/>
      <c r="CJ12" s="40"/>
      <c r="CK12" s="41"/>
      <c r="CL12" s="28"/>
      <c r="CM12" s="26"/>
      <c r="CN12" s="26"/>
      <c r="CO12" s="31"/>
      <c r="CP12" s="691">
        <f t="shared" si="2"/>
        <v>54</v>
      </c>
      <c r="CQ12" s="56">
        <f t="shared" si="2"/>
        <v>6</v>
      </c>
      <c r="CR12" s="56">
        <f t="shared" si="0"/>
        <v>97</v>
      </c>
      <c r="CS12" s="332">
        <f t="shared" si="0"/>
        <v>6</v>
      </c>
      <c r="CT12" s="346"/>
      <c r="CU12" s="40"/>
      <c r="CV12" s="40"/>
      <c r="CW12" s="41"/>
      <c r="CX12" s="80">
        <f t="shared" si="3"/>
        <v>54</v>
      </c>
      <c r="CY12" s="80">
        <f t="shared" si="1"/>
        <v>6</v>
      </c>
      <c r="CZ12" s="80">
        <f t="shared" si="1"/>
        <v>97</v>
      </c>
      <c r="DA12" s="81">
        <f t="shared" si="1"/>
        <v>6</v>
      </c>
    </row>
    <row r="13" spans="1:105" ht="15">
      <c r="A13" s="62" t="s">
        <v>20</v>
      </c>
      <c r="B13" s="83"/>
      <c r="C13" s="16"/>
      <c r="D13" s="16"/>
      <c r="E13" s="84"/>
      <c r="F13" s="30"/>
      <c r="G13" s="26"/>
      <c r="H13" s="26"/>
      <c r="I13" s="31"/>
      <c r="J13" s="30"/>
      <c r="K13" s="26"/>
      <c r="L13" s="26"/>
      <c r="M13" s="31"/>
      <c r="N13" s="28"/>
      <c r="O13" s="26"/>
      <c r="P13" s="26"/>
      <c r="Q13" s="31"/>
      <c r="R13" s="30"/>
      <c r="S13" s="26"/>
      <c r="T13" s="26"/>
      <c r="U13" s="31"/>
      <c r="V13" s="30"/>
      <c r="W13" s="26"/>
      <c r="X13" s="26"/>
      <c r="Y13" s="31"/>
      <c r="Z13" s="30"/>
      <c r="AA13" s="26"/>
      <c r="AB13" s="26"/>
      <c r="AC13" s="31"/>
      <c r="AD13" s="30"/>
      <c r="AE13" s="26"/>
      <c r="AF13" s="26"/>
      <c r="AG13" s="31"/>
      <c r="AH13" s="30">
        <v>41</v>
      </c>
      <c r="AI13" s="26"/>
      <c r="AJ13" s="26">
        <v>338</v>
      </c>
      <c r="AK13" s="31">
        <v>23</v>
      </c>
      <c r="AL13" s="30"/>
      <c r="AM13" s="26"/>
      <c r="AN13" s="26"/>
      <c r="AO13" s="31"/>
      <c r="AP13" s="30">
        <v>79</v>
      </c>
      <c r="AQ13" s="26">
        <v>126</v>
      </c>
      <c r="AR13" s="26">
        <v>199</v>
      </c>
      <c r="AS13" s="31">
        <v>349</v>
      </c>
      <c r="AT13" s="30">
        <v>250</v>
      </c>
      <c r="AU13" s="26">
        <v>72</v>
      </c>
      <c r="AV13" s="26">
        <v>459</v>
      </c>
      <c r="AW13" s="31">
        <v>218</v>
      </c>
      <c r="AX13" s="28"/>
      <c r="AY13" s="26"/>
      <c r="AZ13" s="26"/>
      <c r="BA13" s="31"/>
      <c r="BB13" s="30"/>
      <c r="BC13" s="26"/>
      <c r="BD13" s="26"/>
      <c r="BE13" s="31"/>
      <c r="BF13" s="30"/>
      <c r="BG13" s="26"/>
      <c r="BH13" s="26"/>
      <c r="BI13" s="31"/>
      <c r="BJ13" s="30"/>
      <c r="BK13" s="26"/>
      <c r="BL13" s="26"/>
      <c r="BM13" s="31"/>
      <c r="BN13" s="30"/>
      <c r="BO13" s="26"/>
      <c r="BP13" s="26"/>
      <c r="BQ13" s="31"/>
      <c r="BR13" s="287"/>
      <c r="BS13" s="288"/>
      <c r="BT13" s="288"/>
      <c r="BU13" s="27"/>
      <c r="BV13" s="702"/>
      <c r="BW13" s="3"/>
      <c r="BX13" s="3"/>
      <c r="BY13" s="4"/>
      <c r="BZ13" s="23"/>
      <c r="CA13" s="24"/>
      <c r="CB13" s="24"/>
      <c r="CC13" s="25"/>
      <c r="CD13" s="36"/>
      <c r="CE13" s="37"/>
      <c r="CF13" s="37"/>
      <c r="CG13" s="38"/>
      <c r="CH13" s="39"/>
      <c r="CI13" s="40"/>
      <c r="CJ13" s="40"/>
      <c r="CK13" s="41"/>
      <c r="CL13" s="28"/>
      <c r="CM13" s="26"/>
      <c r="CN13" s="26"/>
      <c r="CO13" s="31"/>
      <c r="CP13" s="691">
        <f t="shared" si="2"/>
        <v>370</v>
      </c>
      <c r="CQ13" s="56">
        <f t="shared" si="2"/>
        <v>198</v>
      </c>
      <c r="CR13" s="56">
        <f t="shared" si="0"/>
        <v>996</v>
      </c>
      <c r="CS13" s="332">
        <f t="shared" si="0"/>
        <v>590</v>
      </c>
      <c r="CT13" s="346">
        <v>462</v>
      </c>
      <c r="CU13" s="40">
        <v>304</v>
      </c>
      <c r="CV13" s="40">
        <v>1085</v>
      </c>
      <c r="CW13" s="41">
        <v>478</v>
      </c>
      <c r="CX13" s="80">
        <f t="shared" si="3"/>
        <v>832</v>
      </c>
      <c r="CY13" s="80">
        <f t="shared" si="1"/>
        <v>502</v>
      </c>
      <c r="CZ13" s="80">
        <f t="shared" si="1"/>
        <v>2081</v>
      </c>
      <c r="DA13" s="81">
        <f t="shared" si="1"/>
        <v>1068</v>
      </c>
    </row>
    <row r="14" spans="1:105" ht="15">
      <c r="A14" s="62" t="s">
        <v>21</v>
      </c>
      <c r="B14" s="83"/>
      <c r="C14" s="16"/>
      <c r="D14" s="16"/>
      <c r="E14" s="84"/>
      <c r="F14" s="30"/>
      <c r="G14" s="26"/>
      <c r="H14" s="26"/>
      <c r="I14" s="31"/>
      <c r="J14" s="30"/>
      <c r="K14" s="26"/>
      <c r="L14" s="26"/>
      <c r="M14" s="31"/>
      <c r="N14" s="28">
        <v>10492</v>
      </c>
      <c r="O14" s="26">
        <v>6191</v>
      </c>
      <c r="P14" s="26">
        <v>32056</v>
      </c>
      <c r="Q14" s="31">
        <v>14058</v>
      </c>
      <c r="R14" s="30"/>
      <c r="S14" s="26"/>
      <c r="T14" s="26"/>
      <c r="U14" s="31"/>
      <c r="V14" s="30"/>
      <c r="W14" s="26"/>
      <c r="X14" s="26"/>
      <c r="Y14" s="31"/>
      <c r="Z14" s="30"/>
      <c r="AA14" s="26"/>
      <c r="AB14" s="26"/>
      <c r="AC14" s="31"/>
      <c r="AD14" s="30"/>
      <c r="AE14" s="26"/>
      <c r="AF14" s="26"/>
      <c r="AG14" s="31"/>
      <c r="AH14" s="30"/>
      <c r="AI14" s="26"/>
      <c r="AJ14" s="26"/>
      <c r="AK14" s="31"/>
      <c r="AL14" s="30"/>
      <c r="AM14" s="26"/>
      <c r="AN14" s="26"/>
      <c r="AO14" s="31"/>
      <c r="AP14" s="30"/>
      <c r="AQ14" s="26"/>
      <c r="AR14" s="26"/>
      <c r="AS14" s="31"/>
      <c r="AT14" s="30">
        <v>7994</v>
      </c>
      <c r="AU14" s="26">
        <v>6085</v>
      </c>
      <c r="AV14" s="26">
        <v>30149</v>
      </c>
      <c r="AW14" s="31">
        <v>17488</v>
      </c>
      <c r="AX14" s="28"/>
      <c r="AY14" s="26"/>
      <c r="AZ14" s="26"/>
      <c r="BA14" s="31"/>
      <c r="BB14" s="30"/>
      <c r="BC14" s="26"/>
      <c r="BD14" s="26"/>
      <c r="BE14" s="31"/>
      <c r="BF14" s="30"/>
      <c r="BG14" s="26"/>
      <c r="BH14" s="26"/>
      <c r="BI14" s="31"/>
      <c r="BJ14" s="30"/>
      <c r="BK14" s="26"/>
      <c r="BL14" s="26"/>
      <c r="BM14" s="31"/>
      <c r="BN14" s="30"/>
      <c r="BO14" s="26"/>
      <c r="BP14" s="26"/>
      <c r="BQ14" s="31"/>
      <c r="BR14" s="287"/>
      <c r="BS14" s="288"/>
      <c r="BT14" s="288"/>
      <c r="BU14" s="27"/>
      <c r="BV14" s="702"/>
      <c r="BW14" s="3"/>
      <c r="BX14" s="3"/>
      <c r="BY14" s="4"/>
      <c r="BZ14" s="23"/>
      <c r="CA14" s="24"/>
      <c r="CB14" s="24"/>
      <c r="CC14" s="25"/>
      <c r="CD14" s="36"/>
      <c r="CE14" s="37"/>
      <c r="CF14" s="37"/>
      <c r="CG14" s="38"/>
      <c r="CH14" s="39"/>
      <c r="CI14" s="40"/>
      <c r="CJ14" s="40"/>
      <c r="CK14" s="41"/>
      <c r="CL14" s="28"/>
      <c r="CM14" s="26"/>
      <c r="CN14" s="26"/>
      <c r="CO14" s="31"/>
      <c r="CP14" s="691">
        <f t="shared" si="2"/>
        <v>18486</v>
      </c>
      <c r="CQ14" s="56">
        <f t="shared" si="2"/>
        <v>12276</v>
      </c>
      <c r="CR14" s="56">
        <f t="shared" si="0"/>
        <v>62205</v>
      </c>
      <c r="CS14" s="332">
        <f t="shared" si="0"/>
        <v>31546</v>
      </c>
      <c r="CT14" s="346"/>
      <c r="CU14" s="40"/>
      <c r="CV14" s="40"/>
      <c r="CW14" s="41"/>
      <c r="CX14" s="80">
        <f t="shared" si="3"/>
        <v>18486</v>
      </c>
      <c r="CY14" s="80">
        <f t="shared" si="1"/>
        <v>12276</v>
      </c>
      <c r="CZ14" s="80">
        <f t="shared" si="1"/>
        <v>62205</v>
      </c>
      <c r="DA14" s="81">
        <f t="shared" si="1"/>
        <v>31546</v>
      </c>
    </row>
    <row r="15" spans="1:105" ht="15.75" thickBot="1">
      <c r="A15" s="62" t="s">
        <v>22</v>
      </c>
      <c r="B15" s="1345"/>
      <c r="C15" s="1346"/>
      <c r="D15" s="1346"/>
      <c r="E15" s="1347"/>
      <c r="F15" s="1348"/>
      <c r="G15" s="1349"/>
      <c r="H15" s="1349"/>
      <c r="I15" s="1350"/>
      <c r="J15" s="1348"/>
      <c r="K15" s="1349"/>
      <c r="L15" s="1349"/>
      <c r="M15" s="1350"/>
      <c r="N15" s="1351"/>
      <c r="O15" s="1349"/>
      <c r="P15" s="1349"/>
      <c r="Q15" s="1350"/>
      <c r="R15" s="1348"/>
      <c r="S15" s="1349"/>
      <c r="T15" s="1349"/>
      <c r="U15" s="1350"/>
      <c r="V15" s="1348"/>
      <c r="W15" s="1349"/>
      <c r="X15" s="1349"/>
      <c r="Y15" s="1350"/>
      <c r="Z15" s="1348"/>
      <c r="AA15" s="1349"/>
      <c r="AB15" s="1349"/>
      <c r="AC15" s="1350"/>
      <c r="AD15" s="1348"/>
      <c r="AE15" s="1349"/>
      <c r="AF15" s="1349"/>
      <c r="AG15" s="1350"/>
      <c r="AH15" s="1348"/>
      <c r="AI15" s="1349"/>
      <c r="AJ15" s="1349"/>
      <c r="AK15" s="1350"/>
      <c r="AL15" s="1348"/>
      <c r="AM15" s="1349"/>
      <c r="AN15" s="1349"/>
      <c r="AO15" s="1350"/>
      <c r="AP15" s="1348">
        <v>12982</v>
      </c>
      <c r="AQ15" s="1349"/>
      <c r="AR15" s="1349">
        <v>40884</v>
      </c>
      <c r="AS15" s="1350"/>
      <c r="AT15" s="1348">
        <v>9631</v>
      </c>
      <c r="AU15" s="1349">
        <v>3640</v>
      </c>
      <c r="AV15" s="1349">
        <v>24058</v>
      </c>
      <c r="AW15" s="1350">
        <v>12192</v>
      </c>
      <c r="AX15" s="1351"/>
      <c r="AY15" s="1349"/>
      <c r="AZ15" s="1349"/>
      <c r="BA15" s="1350"/>
      <c r="BB15" s="1348"/>
      <c r="BC15" s="1349"/>
      <c r="BD15" s="1349"/>
      <c r="BE15" s="1350"/>
      <c r="BF15" s="1348"/>
      <c r="BG15" s="1349"/>
      <c r="BH15" s="1349"/>
      <c r="BI15" s="1350"/>
      <c r="BJ15" s="1348"/>
      <c r="BK15" s="1349"/>
      <c r="BL15" s="1349"/>
      <c r="BM15" s="1350"/>
      <c r="BN15" s="1348"/>
      <c r="BO15" s="1349"/>
      <c r="BP15" s="1349"/>
      <c r="BQ15" s="1350"/>
      <c r="BR15" s="327">
        <v>3</v>
      </c>
      <c r="BS15" s="317"/>
      <c r="BT15" s="317">
        <v>3</v>
      </c>
      <c r="BU15" s="1352"/>
      <c r="BV15" s="1353"/>
      <c r="BW15" s="424"/>
      <c r="BX15" s="424"/>
      <c r="BY15" s="425"/>
      <c r="BZ15" s="1354"/>
      <c r="CA15" s="1355"/>
      <c r="CB15" s="1355"/>
      <c r="CC15" s="1356"/>
      <c r="CD15" s="1357"/>
      <c r="CE15" s="1358"/>
      <c r="CF15" s="1358"/>
      <c r="CG15" s="1359"/>
      <c r="CH15" s="1360"/>
      <c r="CI15" s="1361"/>
      <c r="CJ15" s="1361"/>
      <c r="CK15" s="1362"/>
      <c r="CL15" s="1351"/>
      <c r="CM15" s="1349"/>
      <c r="CN15" s="1349"/>
      <c r="CO15" s="1350"/>
      <c r="CP15" s="1363">
        <f t="shared" si="2"/>
        <v>22616</v>
      </c>
      <c r="CQ15" s="1364">
        <f t="shared" si="2"/>
        <v>3640</v>
      </c>
      <c r="CR15" s="1364">
        <f t="shared" si="0"/>
        <v>64945</v>
      </c>
      <c r="CS15" s="1365">
        <f t="shared" si="0"/>
        <v>12192</v>
      </c>
      <c r="CT15" s="1366"/>
      <c r="CU15" s="1361"/>
      <c r="CV15" s="1361"/>
      <c r="CW15" s="1362"/>
      <c r="CX15" s="1367">
        <f t="shared" si="3"/>
        <v>22616</v>
      </c>
      <c r="CY15" s="1367">
        <f t="shared" si="1"/>
        <v>3640</v>
      </c>
      <c r="CZ15" s="1367">
        <f t="shared" si="1"/>
        <v>64945</v>
      </c>
      <c r="DA15" s="1368">
        <f t="shared" si="1"/>
        <v>12192</v>
      </c>
    </row>
    <row r="16" spans="1:105" s="861" customFormat="1" ht="15" thickBot="1">
      <c r="A16" s="1576" t="s">
        <v>23</v>
      </c>
      <c r="B16" s="1369">
        <f>SUM(B5:B15)</f>
        <v>99391</v>
      </c>
      <c r="C16" s="1369">
        <f aca="true" t="shared" si="4" ref="C16:BN16">SUM(C5:C15)</f>
        <v>75542</v>
      </c>
      <c r="D16" s="1369">
        <f t="shared" si="4"/>
        <v>284857</v>
      </c>
      <c r="E16" s="1369">
        <f t="shared" si="4"/>
        <v>247810</v>
      </c>
      <c r="F16" s="1369">
        <f t="shared" si="4"/>
        <v>16629</v>
      </c>
      <c r="G16" s="1369">
        <f t="shared" si="4"/>
        <v>31861</v>
      </c>
      <c r="H16" s="1369">
        <f t="shared" si="4"/>
        <v>52871</v>
      </c>
      <c r="I16" s="1369">
        <f t="shared" si="4"/>
        <v>68847</v>
      </c>
      <c r="J16" s="1369">
        <f t="shared" si="4"/>
        <v>9203</v>
      </c>
      <c r="K16" s="1369">
        <f t="shared" si="4"/>
        <v>15752</v>
      </c>
      <c r="L16" s="1369">
        <f t="shared" si="4"/>
        <v>32154</v>
      </c>
      <c r="M16" s="1369">
        <f t="shared" si="4"/>
        <v>36281</v>
      </c>
      <c r="N16" s="1369">
        <f t="shared" si="4"/>
        <v>113860</v>
      </c>
      <c r="O16" s="1369">
        <f t="shared" si="4"/>
        <v>97383</v>
      </c>
      <c r="P16" s="1369">
        <f t="shared" si="4"/>
        <v>310872</v>
      </c>
      <c r="Q16" s="1369">
        <f t="shared" si="4"/>
        <v>308372</v>
      </c>
      <c r="R16" s="1369">
        <f t="shared" si="4"/>
        <v>66869</v>
      </c>
      <c r="S16" s="1369">
        <f t="shared" si="4"/>
        <v>56634</v>
      </c>
      <c r="T16" s="1369">
        <f t="shared" si="4"/>
        <v>167699</v>
      </c>
      <c r="U16" s="1369">
        <f t="shared" si="4"/>
        <v>123930</v>
      </c>
      <c r="V16" s="1369">
        <f t="shared" si="4"/>
        <v>48082</v>
      </c>
      <c r="W16" s="1369">
        <f t="shared" si="4"/>
        <v>32048</v>
      </c>
      <c r="X16" s="1369">
        <f t="shared" si="4"/>
        <v>129060</v>
      </c>
      <c r="Y16" s="1369">
        <f t="shared" si="4"/>
        <v>104849</v>
      </c>
      <c r="Z16" s="1369">
        <f t="shared" si="4"/>
        <v>14675</v>
      </c>
      <c r="AA16" s="1369">
        <f t="shared" si="4"/>
        <v>29209</v>
      </c>
      <c r="AB16" s="1369">
        <f t="shared" si="4"/>
        <v>71062</v>
      </c>
      <c r="AC16" s="1369">
        <f t="shared" si="4"/>
        <v>89023</v>
      </c>
      <c r="AD16" s="1369">
        <f t="shared" si="4"/>
        <v>32881</v>
      </c>
      <c r="AE16" s="1369">
        <f t="shared" si="4"/>
        <v>30599</v>
      </c>
      <c r="AF16" s="1369">
        <f t="shared" si="4"/>
        <v>81031</v>
      </c>
      <c r="AG16" s="1369">
        <f t="shared" si="4"/>
        <v>64732</v>
      </c>
      <c r="AH16" s="1369">
        <f t="shared" si="4"/>
        <v>66545</v>
      </c>
      <c r="AI16" s="1369">
        <f t="shared" si="4"/>
        <v>56978</v>
      </c>
      <c r="AJ16" s="1369">
        <f t="shared" si="4"/>
        <v>187548</v>
      </c>
      <c r="AK16" s="1369">
        <f t="shared" si="4"/>
        <v>177816</v>
      </c>
      <c r="AL16" s="1369">
        <f t="shared" si="4"/>
        <v>27400</v>
      </c>
      <c r="AM16" s="1369">
        <f t="shared" si="4"/>
        <v>27510</v>
      </c>
      <c r="AN16" s="1369">
        <f t="shared" si="4"/>
        <v>71458</v>
      </c>
      <c r="AO16" s="1369">
        <f t="shared" si="4"/>
        <v>79691</v>
      </c>
      <c r="AP16" s="1369">
        <f t="shared" si="4"/>
        <v>330395</v>
      </c>
      <c r="AQ16" s="1369">
        <f t="shared" si="4"/>
        <v>359766</v>
      </c>
      <c r="AR16" s="1369">
        <f t="shared" si="4"/>
        <v>995000</v>
      </c>
      <c r="AS16" s="1369">
        <f t="shared" si="4"/>
        <v>1049629</v>
      </c>
      <c r="AT16" s="1369">
        <f t="shared" si="4"/>
        <v>267073</v>
      </c>
      <c r="AU16" s="1369">
        <f t="shared" si="4"/>
        <v>240474</v>
      </c>
      <c r="AV16" s="1369">
        <f t="shared" si="4"/>
        <v>892480</v>
      </c>
      <c r="AW16" s="1369">
        <f t="shared" si="4"/>
        <v>836603</v>
      </c>
      <c r="AX16" s="1369">
        <f t="shared" si="4"/>
        <v>29925</v>
      </c>
      <c r="AY16" s="1369">
        <f t="shared" si="4"/>
        <v>37318</v>
      </c>
      <c r="AZ16" s="1369">
        <f t="shared" si="4"/>
        <v>101803</v>
      </c>
      <c r="BA16" s="1369">
        <f t="shared" si="4"/>
        <v>116693</v>
      </c>
      <c r="BB16" s="1369">
        <f t="shared" si="4"/>
        <v>58845</v>
      </c>
      <c r="BC16" s="1369">
        <f t="shared" si="4"/>
        <v>73898</v>
      </c>
      <c r="BD16" s="1369">
        <f t="shared" si="4"/>
        <v>177792</v>
      </c>
      <c r="BE16" s="1369">
        <f t="shared" si="4"/>
        <v>182869</v>
      </c>
      <c r="BF16" s="1369">
        <f t="shared" si="4"/>
        <v>138480</v>
      </c>
      <c r="BG16" s="1369">
        <f t="shared" si="4"/>
        <v>140177</v>
      </c>
      <c r="BH16" s="1369">
        <f t="shared" si="4"/>
        <v>345877</v>
      </c>
      <c r="BI16" s="1369">
        <f t="shared" si="4"/>
        <v>337923</v>
      </c>
      <c r="BJ16" s="1369">
        <f t="shared" si="4"/>
        <v>239029</v>
      </c>
      <c r="BK16" s="1369">
        <f t="shared" si="4"/>
        <v>211364</v>
      </c>
      <c r="BL16" s="1369">
        <f t="shared" si="4"/>
        <v>644913</v>
      </c>
      <c r="BM16" s="1369">
        <f t="shared" si="4"/>
        <v>561332</v>
      </c>
      <c r="BN16" s="1369">
        <f t="shared" si="4"/>
        <v>69492</v>
      </c>
      <c r="BO16" s="1369">
        <f aca="true" t="shared" si="5" ref="BO16:CO16">SUM(BO5:BO15)</f>
        <v>67683</v>
      </c>
      <c r="BP16" s="1369">
        <f t="shared" si="5"/>
        <v>212056</v>
      </c>
      <c r="BQ16" s="1369">
        <f t="shared" si="5"/>
        <v>219676</v>
      </c>
      <c r="BR16" s="1369">
        <f t="shared" si="5"/>
        <v>66733</v>
      </c>
      <c r="BS16" s="1369">
        <f t="shared" si="5"/>
        <v>69332</v>
      </c>
      <c r="BT16" s="1369">
        <f t="shared" si="5"/>
        <v>225871</v>
      </c>
      <c r="BU16" s="1370">
        <f t="shared" si="5"/>
        <v>216507</v>
      </c>
      <c r="BV16" s="1369">
        <f t="shared" si="5"/>
        <v>0</v>
      </c>
      <c r="BW16" s="1371">
        <f t="shared" si="5"/>
        <v>0</v>
      </c>
      <c r="BX16" s="1371">
        <f t="shared" si="5"/>
        <v>0</v>
      </c>
      <c r="BY16" s="1372">
        <f t="shared" si="5"/>
        <v>0</v>
      </c>
      <c r="BZ16" s="1373">
        <f t="shared" si="5"/>
        <v>484622</v>
      </c>
      <c r="CA16" s="1371">
        <f t="shared" si="5"/>
        <v>448119</v>
      </c>
      <c r="CB16" s="1371">
        <f t="shared" si="5"/>
        <v>1525439</v>
      </c>
      <c r="CC16" s="1372">
        <f t="shared" si="5"/>
        <v>1427034</v>
      </c>
      <c r="CD16" s="1373">
        <f t="shared" si="5"/>
        <v>88603</v>
      </c>
      <c r="CE16" s="1369">
        <f t="shared" si="5"/>
        <v>88227</v>
      </c>
      <c r="CF16" s="1369">
        <f t="shared" si="5"/>
        <v>272972</v>
      </c>
      <c r="CG16" s="1369">
        <f t="shared" si="5"/>
        <v>245540</v>
      </c>
      <c r="CH16" s="1369">
        <f t="shared" si="5"/>
        <v>30350</v>
      </c>
      <c r="CI16" s="1369">
        <f t="shared" si="5"/>
        <v>34015</v>
      </c>
      <c r="CJ16" s="1369">
        <f t="shared" si="5"/>
        <v>95999</v>
      </c>
      <c r="CK16" s="1369">
        <f t="shared" si="5"/>
        <v>113203</v>
      </c>
      <c r="CL16" s="1369">
        <f t="shared" si="5"/>
        <v>144151</v>
      </c>
      <c r="CM16" s="1369">
        <f t="shared" si="5"/>
        <v>96202</v>
      </c>
      <c r="CN16" s="1369">
        <f t="shared" si="5"/>
        <v>349677</v>
      </c>
      <c r="CO16" s="1374">
        <f t="shared" si="5"/>
        <v>222661</v>
      </c>
      <c r="CP16" s="1375">
        <f t="shared" si="2"/>
        <v>2443233</v>
      </c>
      <c r="CQ16" s="1376">
        <f t="shared" si="2"/>
        <v>2320091</v>
      </c>
      <c r="CR16" s="1376">
        <f t="shared" si="0"/>
        <v>7228491</v>
      </c>
      <c r="CS16" s="1377">
        <f t="shared" si="0"/>
        <v>6831021</v>
      </c>
      <c r="CT16" s="1378">
        <f>SUM(CT5:CT15)</f>
        <v>8213608</v>
      </c>
      <c r="CU16" s="1379">
        <f>SUM(CU5:CU15)</f>
        <v>8326986</v>
      </c>
      <c r="CV16" s="1379">
        <f>SUM(CV5:CV15)</f>
        <v>21403905</v>
      </c>
      <c r="CW16" s="1380">
        <f>SUM(CW5:CW15)</f>
        <v>21310698</v>
      </c>
      <c r="CX16" s="1381">
        <f t="shared" si="3"/>
        <v>10656841</v>
      </c>
      <c r="CY16" s="1381">
        <f t="shared" si="1"/>
        <v>10647077</v>
      </c>
      <c r="CZ16" s="1381">
        <f t="shared" si="1"/>
        <v>28632396</v>
      </c>
      <c r="DA16" s="1382">
        <f t="shared" si="1"/>
        <v>28141719</v>
      </c>
    </row>
    <row r="17" spans="1:105" s="1605" customFormat="1" ht="15" thickBot="1">
      <c r="A17" s="1578" t="s">
        <v>14</v>
      </c>
      <c r="B17" s="1579"/>
      <c r="C17" s="1580"/>
      <c r="D17" s="1580"/>
      <c r="E17" s="1581"/>
      <c r="F17" s="1582"/>
      <c r="G17" s="1583"/>
      <c r="H17" s="1583">
        <v>-2</v>
      </c>
      <c r="I17" s="1584">
        <v>3</v>
      </c>
      <c r="J17" s="1582"/>
      <c r="K17" s="1583"/>
      <c r="L17" s="1583"/>
      <c r="M17" s="1584"/>
      <c r="N17" s="1585"/>
      <c r="O17" s="1583"/>
      <c r="P17" s="1583"/>
      <c r="Q17" s="1584"/>
      <c r="R17" s="1582"/>
      <c r="S17" s="1583"/>
      <c r="T17" s="1583"/>
      <c r="U17" s="1584"/>
      <c r="V17" s="1582"/>
      <c r="W17" s="1583"/>
      <c r="X17" s="1583"/>
      <c r="Y17" s="1584"/>
      <c r="Z17" s="1582">
        <v>343</v>
      </c>
      <c r="AA17" s="1583">
        <v>1120</v>
      </c>
      <c r="AB17" s="1583">
        <v>2152</v>
      </c>
      <c r="AC17" s="1584">
        <v>3197</v>
      </c>
      <c r="AD17" s="1586"/>
      <c r="AE17" s="1587"/>
      <c r="AF17" s="1587"/>
      <c r="AG17" s="1588"/>
      <c r="AH17" s="1586">
        <v>4591</v>
      </c>
      <c r="AI17" s="1587">
        <v>5587</v>
      </c>
      <c r="AJ17" s="1587">
        <v>12964</v>
      </c>
      <c r="AK17" s="1588">
        <v>16047</v>
      </c>
      <c r="AL17" s="1586"/>
      <c r="AM17" s="1587"/>
      <c r="AN17" s="1587"/>
      <c r="AO17" s="1588">
        <v>18</v>
      </c>
      <c r="AP17" s="1586"/>
      <c r="AQ17" s="1587"/>
      <c r="AR17" s="1587"/>
      <c r="AS17" s="1588"/>
      <c r="AT17" s="1586"/>
      <c r="AU17" s="1587"/>
      <c r="AV17" s="1587"/>
      <c r="AW17" s="1588"/>
      <c r="AX17" s="1589"/>
      <c r="AY17" s="1587"/>
      <c r="AZ17" s="1587"/>
      <c r="BA17" s="1588"/>
      <c r="BB17" s="1582"/>
      <c r="BC17" s="1583"/>
      <c r="BD17" s="1583"/>
      <c r="BE17" s="1584"/>
      <c r="BF17" s="1582">
        <v>64</v>
      </c>
      <c r="BG17" s="1583">
        <v>9</v>
      </c>
      <c r="BH17" s="1583">
        <v>244</v>
      </c>
      <c r="BI17" s="1584">
        <v>11</v>
      </c>
      <c r="BJ17" s="1582"/>
      <c r="BK17" s="1583"/>
      <c r="BL17" s="1583"/>
      <c r="BM17" s="1584"/>
      <c r="BN17" s="1582">
        <v>-2</v>
      </c>
      <c r="BO17" s="1583">
        <v>-8</v>
      </c>
      <c r="BP17" s="1583">
        <v>-9</v>
      </c>
      <c r="BQ17" s="1584">
        <v>-10</v>
      </c>
      <c r="BR17" s="1582"/>
      <c r="BS17" s="1583"/>
      <c r="BT17" s="1583"/>
      <c r="BU17" s="1590"/>
      <c r="BV17" s="1591"/>
      <c r="BW17" s="1592"/>
      <c r="BX17" s="1592"/>
      <c r="BY17" s="1593"/>
      <c r="BZ17" s="1594"/>
      <c r="CA17" s="1595"/>
      <c r="CB17" s="1595"/>
      <c r="CC17" s="1596"/>
      <c r="CD17" s="1597"/>
      <c r="CE17" s="1598"/>
      <c r="CF17" s="1598"/>
      <c r="CG17" s="1599"/>
      <c r="CH17" s="1600"/>
      <c r="CI17" s="1601"/>
      <c r="CJ17" s="1601"/>
      <c r="CK17" s="1602"/>
      <c r="CL17" s="1585"/>
      <c r="CM17" s="1583"/>
      <c r="CN17" s="1583"/>
      <c r="CO17" s="1584"/>
      <c r="CP17" s="1589">
        <f t="shared" si="2"/>
        <v>4996</v>
      </c>
      <c r="CQ17" s="1587">
        <f t="shared" si="2"/>
        <v>6708</v>
      </c>
      <c r="CR17" s="1587">
        <f t="shared" si="0"/>
        <v>15349</v>
      </c>
      <c r="CS17" s="1588">
        <f t="shared" si="0"/>
        <v>19266</v>
      </c>
      <c r="CT17" s="1603"/>
      <c r="CU17" s="1601"/>
      <c r="CV17" s="1601"/>
      <c r="CW17" s="1602"/>
      <c r="CX17" s="1586">
        <f t="shared" si="3"/>
        <v>4996</v>
      </c>
      <c r="CY17" s="1586">
        <f t="shared" si="1"/>
        <v>6708</v>
      </c>
      <c r="CZ17" s="1586">
        <f t="shared" si="1"/>
        <v>15349</v>
      </c>
      <c r="DA17" s="1604">
        <f t="shared" si="1"/>
        <v>19266</v>
      </c>
    </row>
    <row r="18" spans="1:105" s="861" customFormat="1" ht="15" thickBot="1">
      <c r="A18" s="1576" t="s">
        <v>15</v>
      </c>
      <c r="B18" s="1369">
        <f>B16+B17</f>
        <v>99391</v>
      </c>
      <c r="C18" s="1369">
        <f aca="true" t="shared" si="6" ref="C18:BN18">C16+C17</f>
        <v>75542</v>
      </c>
      <c r="D18" s="1369">
        <f t="shared" si="6"/>
        <v>284857</v>
      </c>
      <c r="E18" s="1369">
        <f t="shared" si="6"/>
        <v>247810</v>
      </c>
      <c r="F18" s="1369">
        <f t="shared" si="6"/>
        <v>16629</v>
      </c>
      <c r="G18" s="1369">
        <f t="shared" si="6"/>
        <v>31861</v>
      </c>
      <c r="H18" s="1369">
        <f t="shared" si="6"/>
        <v>52869</v>
      </c>
      <c r="I18" s="1369">
        <f t="shared" si="6"/>
        <v>68850</v>
      </c>
      <c r="J18" s="1369">
        <f t="shared" si="6"/>
        <v>9203</v>
      </c>
      <c r="K18" s="1369">
        <f t="shared" si="6"/>
        <v>15752</v>
      </c>
      <c r="L18" s="1369">
        <f t="shared" si="6"/>
        <v>32154</v>
      </c>
      <c r="M18" s="1369">
        <f t="shared" si="6"/>
        <v>36281</v>
      </c>
      <c r="N18" s="1369">
        <f t="shared" si="6"/>
        <v>113860</v>
      </c>
      <c r="O18" s="1369">
        <f t="shared" si="6"/>
        <v>97383</v>
      </c>
      <c r="P18" s="1369">
        <f t="shared" si="6"/>
        <v>310872</v>
      </c>
      <c r="Q18" s="1369">
        <f t="shared" si="6"/>
        <v>308372</v>
      </c>
      <c r="R18" s="1369">
        <f t="shared" si="6"/>
        <v>66869</v>
      </c>
      <c r="S18" s="1369">
        <f t="shared" si="6"/>
        <v>56634</v>
      </c>
      <c r="T18" s="1369">
        <f t="shared" si="6"/>
        <v>167699</v>
      </c>
      <c r="U18" s="1369">
        <f t="shared" si="6"/>
        <v>123930</v>
      </c>
      <c r="V18" s="1369">
        <f t="shared" si="6"/>
        <v>48082</v>
      </c>
      <c r="W18" s="1369">
        <f t="shared" si="6"/>
        <v>32048</v>
      </c>
      <c r="X18" s="1369">
        <f t="shared" si="6"/>
        <v>129060</v>
      </c>
      <c r="Y18" s="1369">
        <f t="shared" si="6"/>
        <v>104849</v>
      </c>
      <c r="Z18" s="1369">
        <f t="shared" si="6"/>
        <v>15018</v>
      </c>
      <c r="AA18" s="1369">
        <f t="shared" si="6"/>
        <v>30329</v>
      </c>
      <c r="AB18" s="1369">
        <f t="shared" si="6"/>
        <v>73214</v>
      </c>
      <c r="AC18" s="1369">
        <f t="shared" si="6"/>
        <v>92220</v>
      </c>
      <c r="AD18" s="1369">
        <f t="shared" si="6"/>
        <v>32881</v>
      </c>
      <c r="AE18" s="1369">
        <f t="shared" si="6"/>
        <v>30599</v>
      </c>
      <c r="AF18" s="1369">
        <f t="shared" si="6"/>
        <v>81031</v>
      </c>
      <c r="AG18" s="1369">
        <f t="shared" si="6"/>
        <v>64732</v>
      </c>
      <c r="AH18" s="1369">
        <f t="shared" si="6"/>
        <v>71136</v>
      </c>
      <c r="AI18" s="1369">
        <f t="shared" si="6"/>
        <v>62565</v>
      </c>
      <c r="AJ18" s="1369">
        <f t="shared" si="6"/>
        <v>200512</v>
      </c>
      <c r="AK18" s="1369">
        <f t="shared" si="6"/>
        <v>193863</v>
      </c>
      <c r="AL18" s="1369">
        <f t="shared" si="6"/>
        <v>27400</v>
      </c>
      <c r="AM18" s="1369">
        <f t="shared" si="6"/>
        <v>27510</v>
      </c>
      <c r="AN18" s="1369">
        <f t="shared" si="6"/>
        <v>71458</v>
      </c>
      <c r="AO18" s="1369">
        <f t="shared" si="6"/>
        <v>79709</v>
      </c>
      <c r="AP18" s="1369">
        <f t="shared" si="6"/>
        <v>330395</v>
      </c>
      <c r="AQ18" s="1369">
        <f t="shared" si="6"/>
        <v>359766</v>
      </c>
      <c r="AR18" s="1369">
        <f t="shared" si="6"/>
        <v>995000</v>
      </c>
      <c r="AS18" s="1369">
        <f t="shared" si="6"/>
        <v>1049629</v>
      </c>
      <c r="AT18" s="1369">
        <f t="shared" si="6"/>
        <v>267073</v>
      </c>
      <c r="AU18" s="1369">
        <f t="shared" si="6"/>
        <v>240474</v>
      </c>
      <c r="AV18" s="1369">
        <f t="shared" si="6"/>
        <v>892480</v>
      </c>
      <c r="AW18" s="1369">
        <f t="shared" si="6"/>
        <v>836603</v>
      </c>
      <c r="AX18" s="1369">
        <f t="shared" si="6"/>
        <v>29925</v>
      </c>
      <c r="AY18" s="1369">
        <f t="shared" si="6"/>
        <v>37318</v>
      </c>
      <c r="AZ18" s="1369">
        <f t="shared" si="6"/>
        <v>101803</v>
      </c>
      <c r="BA18" s="1369">
        <f t="shared" si="6"/>
        <v>116693</v>
      </c>
      <c r="BB18" s="1369">
        <f t="shared" si="6"/>
        <v>58845</v>
      </c>
      <c r="BC18" s="1369">
        <f t="shared" si="6"/>
        <v>73898</v>
      </c>
      <c r="BD18" s="1369">
        <f t="shared" si="6"/>
        <v>177792</v>
      </c>
      <c r="BE18" s="1369">
        <f t="shared" si="6"/>
        <v>182869</v>
      </c>
      <c r="BF18" s="1369">
        <f t="shared" si="6"/>
        <v>138544</v>
      </c>
      <c r="BG18" s="1369">
        <f t="shared" si="6"/>
        <v>140186</v>
      </c>
      <c r="BH18" s="1369">
        <f t="shared" si="6"/>
        <v>346121</v>
      </c>
      <c r="BI18" s="1369">
        <f t="shared" si="6"/>
        <v>337934</v>
      </c>
      <c r="BJ18" s="1369">
        <f t="shared" si="6"/>
        <v>239029</v>
      </c>
      <c r="BK18" s="1369">
        <f t="shared" si="6"/>
        <v>211364</v>
      </c>
      <c r="BL18" s="1369">
        <f t="shared" si="6"/>
        <v>644913</v>
      </c>
      <c r="BM18" s="1369">
        <f t="shared" si="6"/>
        <v>561332</v>
      </c>
      <c r="BN18" s="1369">
        <f t="shared" si="6"/>
        <v>69490</v>
      </c>
      <c r="BO18" s="1369">
        <f aca="true" t="shared" si="7" ref="BO18:CO18">BO16+BO17</f>
        <v>67675</v>
      </c>
      <c r="BP18" s="1369">
        <f t="shared" si="7"/>
        <v>212047</v>
      </c>
      <c r="BQ18" s="1369">
        <f t="shared" si="7"/>
        <v>219666</v>
      </c>
      <c r="BR18" s="1369">
        <f t="shared" si="7"/>
        <v>66733</v>
      </c>
      <c r="BS18" s="1369">
        <f t="shared" si="7"/>
        <v>69332</v>
      </c>
      <c r="BT18" s="1369">
        <f t="shared" si="7"/>
        <v>225871</v>
      </c>
      <c r="BU18" s="1370">
        <f t="shared" si="7"/>
        <v>216507</v>
      </c>
      <c r="BV18" s="1369">
        <f t="shared" si="7"/>
        <v>0</v>
      </c>
      <c r="BW18" s="1371">
        <f t="shared" si="7"/>
        <v>0</v>
      </c>
      <c r="BX18" s="1371">
        <f t="shared" si="7"/>
        <v>0</v>
      </c>
      <c r="BY18" s="1372">
        <f t="shared" si="7"/>
        <v>0</v>
      </c>
      <c r="BZ18" s="1373">
        <f t="shared" si="7"/>
        <v>484622</v>
      </c>
      <c r="CA18" s="1371">
        <f t="shared" si="7"/>
        <v>448119</v>
      </c>
      <c r="CB18" s="1371">
        <f t="shared" si="7"/>
        <v>1525439</v>
      </c>
      <c r="CC18" s="1372">
        <f t="shared" si="7"/>
        <v>1427034</v>
      </c>
      <c r="CD18" s="1373">
        <f t="shared" si="7"/>
        <v>88603</v>
      </c>
      <c r="CE18" s="1369">
        <f t="shared" si="7"/>
        <v>88227</v>
      </c>
      <c r="CF18" s="1369">
        <f t="shared" si="7"/>
        <v>272972</v>
      </c>
      <c r="CG18" s="1369">
        <f t="shared" si="7"/>
        <v>245540</v>
      </c>
      <c r="CH18" s="1369">
        <f t="shared" si="7"/>
        <v>30350</v>
      </c>
      <c r="CI18" s="1369">
        <f t="shared" si="7"/>
        <v>34015</v>
      </c>
      <c r="CJ18" s="1369">
        <f t="shared" si="7"/>
        <v>95999</v>
      </c>
      <c r="CK18" s="1369">
        <f t="shared" si="7"/>
        <v>113203</v>
      </c>
      <c r="CL18" s="1369">
        <f t="shared" si="7"/>
        <v>144151</v>
      </c>
      <c r="CM18" s="1369">
        <f t="shared" si="7"/>
        <v>96202</v>
      </c>
      <c r="CN18" s="1369">
        <f t="shared" si="7"/>
        <v>349677</v>
      </c>
      <c r="CO18" s="1374">
        <f t="shared" si="7"/>
        <v>222661</v>
      </c>
      <c r="CP18" s="1375">
        <f t="shared" si="2"/>
        <v>2448229</v>
      </c>
      <c r="CQ18" s="1376">
        <f t="shared" si="2"/>
        <v>2326799</v>
      </c>
      <c r="CR18" s="1376">
        <f t="shared" si="0"/>
        <v>7243840</v>
      </c>
      <c r="CS18" s="1377">
        <f t="shared" si="0"/>
        <v>6850287</v>
      </c>
      <c r="CT18" s="1375">
        <f>CT16+CT17</f>
        <v>8213608</v>
      </c>
      <c r="CU18" s="1381">
        <f>CU16+CU17</f>
        <v>8326986</v>
      </c>
      <c r="CV18" s="1381">
        <f>CV16+CV17</f>
        <v>21403905</v>
      </c>
      <c r="CW18" s="1382">
        <f>CW16+CW17</f>
        <v>21310698</v>
      </c>
      <c r="CX18" s="1381">
        <f t="shared" si="3"/>
        <v>10661837</v>
      </c>
      <c r="CY18" s="1381">
        <f t="shared" si="1"/>
        <v>10653785</v>
      </c>
      <c r="CZ18" s="1381">
        <f t="shared" si="1"/>
        <v>28647745</v>
      </c>
      <c r="DA18" s="1382">
        <f t="shared" si="1"/>
        <v>28160985</v>
      </c>
    </row>
    <row r="20" ht="14.25">
      <c r="CQ20" s="55"/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GK12"/>
  <sheetViews>
    <sheetView zoomScalePageLayoutView="0" workbookViewId="0" topLeftCell="A1">
      <pane xSplit="1" topLeftCell="GF1" activePane="topRight" state="frozen"/>
      <selection pane="topLeft" activeCell="A1" sqref="A1"/>
      <selection pane="topRight" activeCell="GK16" sqref="GK16"/>
    </sheetView>
  </sheetViews>
  <sheetFormatPr defaultColWidth="9.140625" defaultRowHeight="15"/>
  <cols>
    <col min="1" max="1" width="18.140625" style="477" customWidth="1"/>
    <col min="2" max="2" width="8.140625" style="477" bestFit="1" customWidth="1"/>
    <col min="3" max="9" width="11.57421875" style="477" customWidth="1"/>
    <col min="10" max="10" width="9.28125" style="477" bestFit="1" customWidth="1"/>
    <col min="11" max="17" width="9.28125" style="477" customWidth="1"/>
    <col min="18" max="18" width="9.28125" style="477" bestFit="1" customWidth="1"/>
    <col min="19" max="24" width="9.28125" style="477" customWidth="1"/>
    <col min="25" max="25" width="11.7109375" style="477" customWidth="1"/>
    <col min="26" max="26" width="9.28125" style="477" bestFit="1" customWidth="1"/>
    <col min="27" max="33" width="9.28125" style="477" customWidth="1"/>
    <col min="34" max="35" width="8.28125" style="477" customWidth="1"/>
    <col min="36" max="36" width="8.00390625" style="477" customWidth="1"/>
    <col min="37" max="37" width="9.28125" style="477" customWidth="1"/>
    <col min="38" max="38" width="7.140625" style="477" customWidth="1"/>
    <col min="39" max="39" width="8.57421875" style="477" customWidth="1"/>
    <col min="40" max="41" width="9.28125" style="477" customWidth="1"/>
    <col min="42" max="42" width="9.28125" style="477" bestFit="1" customWidth="1"/>
    <col min="43" max="49" width="9.28125" style="477" customWidth="1"/>
    <col min="50" max="51" width="9.00390625" style="477" customWidth="1"/>
    <col min="52" max="52" width="10.140625" style="477" customWidth="1"/>
    <col min="53" max="53" width="9.00390625" style="477" customWidth="1"/>
    <col min="54" max="54" width="8.7109375" style="477" customWidth="1"/>
    <col min="55" max="55" width="8.8515625" style="477" customWidth="1"/>
    <col min="56" max="57" width="10.140625" style="477" customWidth="1"/>
    <col min="58" max="58" width="11.00390625" style="477" customWidth="1"/>
    <col min="59" max="59" width="9.28125" style="477" customWidth="1"/>
    <col min="60" max="60" width="10.00390625" style="477" customWidth="1"/>
    <col min="61" max="61" width="10.140625" style="477" customWidth="1"/>
    <col min="62" max="65" width="11.00390625" style="477" customWidth="1"/>
    <col min="66" max="66" width="9.28125" style="477" bestFit="1" customWidth="1"/>
    <col min="67" max="73" width="9.28125" style="477" customWidth="1"/>
    <col min="74" max="74" width="9.28125" style="477" bestFit="1" customWidth="1"/>
    <col min="75" max="80" width="9.28125" style="477" customWidth="1"/>
    <col min="81" max="81" width="9.28125" style="1480" customWidth="1"/>
    <col min="82" max="82" width="9.28125" style="477" bestFit="1" customWidth="1"/>
    <col min="83" max="83" width="8.140625" style="477" customWidth="1"/>
    <col min="84" max="84" width="7.8515625" style="477" customWidth="1"/>
    <col min="85" max="85" width="8.28125" style="477" customWidth="1"/>
    <col min="86" max="86" width="8.140625" style="477" customWidth="1"/>
    <col min="87" max="87" width="8.28125" style="477" customWidth="1"/>
    <col min="88" max="88" width="8.00390625" style="477" customWidth="1"/>
    <col min="89" max="89" width="9.28125" style="477" customWidth="1"/>
    <col min="90" max="97" width="11.7109375" style="477" customWidth="1"/>
    <col min="98" max="98" width="9.28125" style="477" bestFit="1" customWidth="1"/>
    <col min="99" max="99" width="8.421875" style="477" customWidth="1"/>
    <col min="100" max="100" width="9.28125" style="477" customWidth="1"/>
    <col min="101" max="102" width="7.7109375" style="477" customWidth="1"/>
    <col min="103" max="103" width="7.00390625" style="477" customWidth="1"/>
    <col min="104" max="105" width="9.28125" style="477" customWidth="1"/>
    <col min="106" max="106" width="8.421875" style="477" customWidth="1"/>
    <col min="107" max="109" width="8.28125" style="477" customWidth="1"/>
    <col min="110" max="110" width="7.28125" style="477" customWidth="1"/>
    <col min="111" max="111" width="7.140625" style="477" customWidth="1"/>
    <col min="112" max="113" width="9.28125" style="477" customWidth="1"/>
    <col min="114" max="121" width="12.00390625" style="477" customWidth="1"/>
    <col min="122" max="122" width="9.28125" style="477" bestFit="1" customWidth="1"/>
    <col min="123" max="129" width="9.28125" style="477" customWidth="1"/>
    <col min="130" max="130" width="9.28125" style="477" bestFit="1" customWidth="1"/>
    <col min="131" max="131" width="8.57421875" style="477" customWidth="1"/>
    <col min="132" max="132" width="8.28125" style="477" customWidth="1"/>
    <col min="133" max="133" width="9.28125" style="477" customWidth="1"/>
    <col min="134" max="134" width="8.421875" style="477" customWidth="1"/>
    <col min="135" max="135" width="8.28125" style="477" customWidth="1"/>
    <col min="136" max="137" width="9.28125" style="477" customWidth="1"/>
    <col min="138" max="138" width="9.28125" style="477" bestFit="1" customWidth="1"/>
    <col min="139" max="145" width="9.28125" style="477" customWidth="1"/>
    <col min="146" max="153" width="9.140625" style="477" customWidth="1"/>
    <col min="154" max="161" width="11.421875" style="477" customWidth="1"/>
    <col min="162" max="162" width="9.28125" style="477" bestFit="1" customWidth="1"/>
    <col min="163" max="169" width="9.28125" style="477" customWidth="1"/>
    <col min="170" max="170" width="9.28125" style="477" bestFit="1" customWidth="1"/>
    <col min="171" max="172" width="8.28125" style="477" customWidth="1"/>
    <col min="173" max="173" width="8.140625" style="477" customWidth="1"/>
    <col min="174" max="174" width="7.57421875" style="477" customWidth="1"/>
    <col min="175" max="175" width="8.28125" style="477" customWidth="1"/>
    <col min="176" max="177" width="9.28125" style="477" customWidth="1"/>
    <col min="178" max="178" width="9.28125" style="477" bestFit="1" customWidth="1"/>
    <col min="179" max="185" width="9.28125" style="477" customWidth="1"/>
    <col min="186" max="186" width="11.57421875" style="477" bestFit="1" customWidth="1"/>
    <col min="187" max="193" width="9.57421875" style="477" customWidth="1"/>
    <col min="194" max="16384" width="9.140625" style="477" customWidth="1"/>
  </cols>
  <sheetData>
    <row r="1" spans="1:193" s="624" customFormat="1" ht="15" customHeight="1">
      <c r="A1" s="623" t="s">
        <v>341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621"/>
      <c r="AL1" s="621"/>
      <c r="AM1" s="621"/>
      <c r="AN1" s="621"/>
      <c r="AO1" s="621"/>
      <c r="AP1" s="621"/>
      <c r="AQ1" s="621"/>
      <c r="AR1" s="621"/>
      <c r="AS1" s="621"/>
      <c r="AT1" s="621"/>
      <c r="AU1" s="621"/>
      <c r="AV1" s="621"/>
      <c r="AW1" s="621"/>
      <c r="AX1" s="621"/>
      <c r="AY1" s="621"/>
      <c r="AZ1" s="621"/>
      <c r="BA1" s="621"/>
      <c r="BB1" s="621"/>
      <c r="BC1" s="621"/>
      <c r="BD1" s="621"/>
      <c r="BE1" s="621"/>
      <c r="BF1" s="621"/>
      <c r="BG1" s="621"/>
      <c r="BH1" s="621"/>
      <c r="BI1" s="621"/>
      <c r="BJ1" s="621"/>
      <c r="BK1" s="621"/>
      <c r="BL1" s="621"/>
      <c r="BM1" s="621"/>
      <c r="BN1" s="621"/>
      <c r="BO1" s="621"/>
      <c r="BP1" s="621"/>
      <c r="BQ1" s="621"/>
      <c r="BR1" s="621"/>
      <c r="BS1" s="621"/>
      <c r="BT1" s="621"/>
      <c r="BU1" s="621"/>
      <c r="BV1" s="621"/>
      <c r="BW1" s="621"/>
      <c r="BX1" s="621"/>
      <c r="BY1" s="621"/>
      <c r="BZ1" s="621"/>
      <c r="CA1" s="621"/>
      <c r="CB1" s="621"/>
      <c r="CC1" s="1476"/>
      <c r="CD1" s="621"/>
      <c r="CE1" s="621"/>
      <c r="CF1" s="621"/>
      <c r="CG1" s="621"/>
      <c r="CH1" s="621"/>
      <c r="CI1" s="621"/>
      <c r="CJ1" s="621"/>
      <c r="CK1" s="621"/>
      <c r="CL1" s="621"/>
      <c r="CM1" s="621"/>
      <c r="CN1" s="621"/>
      <c r="CO1" s="621"/>
      <c r="CP1" s="621"/>
      <c r="CQ1" s="621"/>
      <c r="CR1" s="621"/>
      <c r="CS1" s="621"/>
      <c r="CT1" s="621"/>
      <c r="CU1" s="621"/>
      <c r="CV1" s="621"/>
      <c r="CW1" s="621"/>
      <c r="CX1" s="621"/>
      <c r="CY1" s="621"/>
      <c r="CZ1" s="621"/>
      <c r="DA1" s="621"/>
      <c r="DB1" s="621"/>
      <c r="DC1" s="621"/>
      <c r="DD1" s="621"/>
      <c r="DE1" s="621"/>
      <c r="DF1" s="621"/>
      <c r="DG1" s="621"/>
      <c r="DH1" s="621"/>
      <c r="DI1" s="621"/>
      <c r="DJ1" s="621"/>
      <c r="DK1" s="621"/>
      <c r="DL1" s="621"/>
      <c r="DM1" s="621"/>
      <c r="DN1" s="621"/>
      <c r="DO1" s="621"/>
      <c r="DP1" s="621"/>
      <c r="DQ1" s="621"/>
      <c r="DR1" s="621"/>
      <c r="DS1" s="621"/>
      <c r="DT1" s="621"/>
      <c r="DU1" s="621"/>
      <c r="DV1" s="621"/>
      <c r="DW1" s="621"/>
      <c r="DX1" s="621"/>
      <c r="DY1" s="621"/>
      <c r="DZ1" s="621"/>
      <c r="EA1" s="621"/>
      <c r="EB1" s="621"/>
      <c r="EC1" s="621"/>
      <c r="ED1" s="621"/>
      <c r="EE1" s="621"/>
      <c r="EF1" s="621"/>
      <c r="EG1" s="621"/>
      <c r="EH1" s="621"/>
      <c r="EI1" s="621"/>
      <c r="EJ1" s="621"/>
      <c r="EK1" s="621"/>
      <c r="EL1" s="621"/>
      <c r="EM1" s="621"/>
      <c r="EN1" s="621"/>
      <c r="EO1" s="621"/>
      <c r="EP1" s="621"/>
      <c r="EQ1" s="621"/>
      <c r="ER1" s="621"/>
      <c r="ES1" s="621"/>
      <c r="ET1" s="621"/>
      <c r="EU1" s="621"/>
      <c r="EV1" s="621"/>
      <c r="EW1" s="621"/>
      <c r="EX1" s="621"/>
      <c r="EY1" s="621"/>
      <c r="EZ1" s="621"/>
      <c r="FA1" s="621"/>
      <c r="FB1" s="621"/>
      <c r="FC1" s="621"/>
      <c r="FD1" s="621"/>
      <c r="FE1" s="621"/>
      <c r="FF1" s="621"/>
      <c r="FG1" s="621"/>
      <c r="FH1" s="621"/>
      <c r="FI1" s="621"/>
      <c r="FJ1" s="621"/>
      <c r="FK1" s="621"/>
      <c r="FL1" s="621"/>
      <c r="FM1" s="621"/>
      <c r="FN1" s="621"/>
      <c r="FO1" s="621"/>
      <c r="FP1" s="621"/>
      <c r="FQ1" s="621"/>
      <c r="FR1" s="621"/>
      <c r="FS1" s="621"/>
      <c r="FT1" s="621"/>
      <c r="FU1" s="621"/>
      <c r="FV1" s="621"/>
      <c r="FW1" s="621"/>
      <c r="FX1" s="621"/>
      <c r="FY1" s="621"/>
      <c r="FZ1" s="621"/>
      <c r="GA1" s="621"/>
      <c r="GB1" s="621"/>
      <c r="GC1" s="621"/>
      <c r="GD1" s="621"/>
      <c r="GE1" s="621"/>
      <c r="GF1" s="621"/>
      <c r="GG1" s="621"/>
      <c r="GH1" s="621"/>
      <c r="GI1" s="621"/>
      <c r="GJ1" s="621"/>
      <c r="GK1" s="621"/>
    </row>
    <row r="2" spans="1:193" ht="8.25" customHeight="1" thickBot="1">
      <c r="A2" s="622"/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22"/>
      <c r="BN2" s="622"/>
      <c r="BO2" s="622"/>
      <c r="BP2" s="622"/>
      <c r="BQ2" s="622"/>
      <c r="BR2" s="622"/>
      <c r="BS2" s="622"/>
      <c r="BT2" s="622"/>
      <c r="BU2" s="622"/>
      <c r="BV2" s="622"/>
      <c r="BW2" s="622"/>
      <c r="BX2" s="622"/>
      <c r="BY2" s="622"/>
      <c r="BZ2" s="622"/>
      <c r="CA2" s="622"/>
      <c r="CB2" s="622"/>
      <c r="CC2" s="1477"/>
      <c r="CD2" s="622"/>
      <c r="CE2" s="622"/>
      <c r="CF2" s="622"/>
      <c r="CG2" s="622"/>
      <c r="CH2" s="622"/>
      <c r="CI2" s="622"/>
      <c r="CJ2" s="622"/>
      <c r="CK2" s="622"/>
      <c r="CL2" s="622"/>
      <c r="CM2" s="622"/>
      <c r="CN2" s="622"/>
      <c r="CO2" s="622"/>
      <c r="CP2" s="622"/>
      <c r="CQ2" s="622"/>
      <c r="CR2" s="622"/>
      <c r="CS2" s="622"/>
      <c r="CT2" s="622"/>
      <c r="CU2" s="622"/>
      <c r="CV2" s="622"/>
      <c r="CW2" s="622"/>
      <c r="CX2" s="622"/>
      <c r="CY2" s="622"/>
      <c r="CZ2" s="622"/>
      <c r="DA2" s="622"/>
      <c r="DB2" s="622"/>
      <c r="DC2" s="622"/>
      <c r="DD2" s="622"/>
      <c r="DE2" s="622"/>
      <c r="DF2" s="622"/>
      <c r="DG2" s="622"/>
      <c r="DH2" s="622"/>
      <c r="DI2" s="622"/>
      <c r="DJ2" s="622"/>
      <c r="DK2" s="622"/>
      <c r="DL2" s="622"/>
      <c r="DM2" s="622"/>
      <c r="DN2" s="622"/>
      <c r="DO2" s="622"/>
      <c r="DP2" s="622"/>
      <c r="DQ2" s="622"/>
      <c r="DR2" s="622"/>
      <c r="DS2" s="622"/>
      <c r="DT2" s="622"/>
      <c r="DU2" s="622"/>
      <c r="DV2" s="622"/>
      <c r="DW2" s="622"/>
      <c r="DX2" s="622"/>
      <c r="DY2" s="622"/>
      <c r="DZ2" s="622"/>
      <c r="EA2" s="622"/>
      <c r="EB2" s="622"/>
      <c r="EC2" s="622"/>
      <c r="ED2" s="622"/>
      <c r="EE2" s="622"/>
      <c r="EF2" s="622"/>
      <c r="EG2" s="622"/>
      <c r="EH2" s="622"/>
      <c r="EI2" s="622"/>
      <c r="EJ2" s="622"/>
      <c r="EK2" s="622"/>
      <c r="EL2" s="622"/>
      <c r="EM2" s="622"/>
      <c r="EN2" s="622"/>
      <c r="EO2" s="622"/>
      <c r="EP2" s="622"/>
      <c r="EQ2" s="622"/>
      <c r="ER2" s="622"/>
      <c r="ES2" s="622"/>
      <c r="ET2" s="622"/>
      <c r="EU2" s="622"/>
      <c r="EV2" s="622"/>
      <c r="EW2" s="622"/>
      <c r="EX2" s="622"/>
      <c r="EY2" s="622"/>
      <c r="EZ2" s="622"/>
      <c r="FA2" s="622"/>
      <c r="FB2" s="622"/>
      <c r="FC2" s="622"/>
      <c r="FD2" s="622"/>
      <c r="FE2" s="622"/>
      <c r="FF2" s="622"/>
      <c r="FG2" s="622"/>
      <c r="FH2" s="622"/>
      <c r="FI2" s="622"/>
      <c r="FJ2" s="622"/>
      <c r="FK2" s="622"/>
      <c r="FL2" s="622"/>
      <c r="FM2" s="622"/>
      <c r="FN2" s="622"/>
      <c r="FO2" s="622"/>
      <c r="FP2" s="622"/>
      <c r="FQ2" s="622"/>
      <c r="FR2" s="622"/>
      <c r="FS2" s="622"/>
      <c r="FT2" s="622"/>
      <c r="FU2" s="622"/>
      <c r="FV2" s="622"/>
      <c r="FW2" s="622"/>
      <c r="FX2" s="622"/>
      <c r="FY2" s="622"/>
      <c r="FZ2" s="622"/>
      <c r="GA2" s="622"/>
      <c r="GB2" s="622"/>
      <c r="GC2" s="622"/>
      <c r="GD2" s="622"/>
      <c r="GE2" s="622"/>
      <c r="GF2" s="622"/>
      <c r="GG2" s="622"/>
      <c r="GH2" s="622"/>
      <c r="GI2" s="622"/>
      <c r="GJ2" s="622"/>
      <c r="GK2" s="622"/>
    </row>
    <row r="3" spans="1:193" ht="15" customHeight="1" thickBot="1">
      <c r="A3" s="1863" t="s">
        <v>0</v>
      </c>
      <c r="B3" s="1865" t="s">
        <v>299</v>
      </c>
      <c r="C3" s="1866"/>
      <c r="D3" s="1866"/>
      <c r="E3" s="1866"/>
      <c r="F3" s="1866"/>
      <c r="G3" s="1866"/>
      <c r="H3" s="1866"/>
      <c r="I3" s="1867"/>
      <c r="J3" s="1859" t="s">
        <v>300</v>
      </c>
      <c r="K3" s="1860"/>
      <c r="L3" s="1860"/>
      <c r="M3" s="1860"/>
      <c r="N3" s="1860"/>
      <c r="O3" s="1860"/>
      <c r="P3" s="1860"/>
      <c r="Q3" s="1861"/>
      <c r="R3" s="1859" t="s">
        <v>301</v>
      </c>
      <c r="S3" s="1860"/>
      <c r="T3" s="1860"/>
      <c r="U3" s="1860"/>
      <c r="V3" s="1860"/>
      <c r="W3" s="1860"/>
      <c r="X3" s="1860"/>
      <c r="Y3" s="1861"/>
      <c r="Z3" s="1860" t="s">
        <v>302</v>
      </c>
      <c r="AA3" s="1860"/>
      <c r="AB3" s="1860"/>
      <c r="AC3" s="1860"/>
      <c r="AD3" s="1860"/>
      <c r="AE3" s="1860"/>
      <c r="AF3" s="1860"/>
      <c r="AG3" s="1860"/>
      <c r="AH3" s="1859" t="s">
        <v>303</v>
      </c>
      <c r="AI3" s="1860"/>
      <c r="AJ3" s="1860"/>
      <c r="AK3" s="1860"/>
      <c r="AL3" s="1860"/>
      <c r="AM3" s="1860"/>
      <c r="AN3" s="1860"/>
      <c r="AO3" s="1861"/>
      <c r="AP3" s="1859" t="s">
        <v>304</v>
      </c>
      <c r="AQ3" s="1860"/>
      <c r="AR3" s="1860"/>
      <c r="AS3" s="1860"/>
      <c r="AT3" s="1860"/>
      <c r="AU3" s="1860"/>
      <c r="AV3" s="1860"/>
      <c r="AW3" s="1861"/>
      <c r="AX3" s="1859" t="s">
        <v>305</v>
      </c>
      <c r="AY3" s="1860"/>
      <c r="AZ3" s="1860"/>
      <c r="BA3" s="1860"/>
      <c r="BB3" s="1860"/>
      <c r="BC3" s="1860"/>
      <c r="BD3" s="1860"/>
      <c r="BE3" s="1861"/>
      <c r="BF3" s="1859" t="s">
        <v>306</v>
      </c>
      <c r="BG3" s="1860"/>
      <c r="BH3" s="1860"/>
      <c r="BI3" s="1860"/>
      <c r="BJ3" s="1860"/>
      <c r="BK3" s="1860"/>
      <c r="BL3" s="1860"/>
      <c r="BM3" s="1860"/>
      <c r="BN3" s="1859" t="s">
        <v>294</v>
      </c>
      <c r="BO3" s="1860"/>
      <c r="BP3" s="1860"/>
      <c r="BQ3" s="1860"/>
      <c r="BR3" s="1860"/>
      <c r="BS3" s="1860"/>
      <c r="BT3" s="1860"/>
      <c r="BU3" s="1860"/>
      <c r="BV3" s="1859" t="s">
        <v>295</v>
      </c>
      <c r="BW3" s="1860"/>
      <c r="BX3" s="1860"/>
      <c r="BY3" s="1860"/>
      <c r="BZ3" s="1860"/>
      <c r="CA3" s="1860"/>
      <c r="CB3" s="1860"/>
      <c r="CC3" s="1860"/>
      <c r="CD3" s="1859" t="s">
        <v>307</v>
      </c>
      <c r="CE3" s="1860"/>
      <c r="CF3" s="1860"/>
      <c r="CG3" s="1860"/>
      <c r="CH3" s="1860"/>
      <c r="CI3" s="1860"/>
      <c r="CJ3" s="1860"/>
      <c r="CK3" s="1861"/>
      <c r="CL3" s="1859" t="s">
        <v>308</v>
      </c>
      <c r="CM3" s="1860"/>
      <c r="CN3" s="1860"/>
      <c r="CO3" s="1860"/>
      <c r="CP3" s="1860"/>
      <c r="CQ3" s="1860"/>
      <c r="CR3" s="1860"/>
      <c r="CS3" s="1861"/>
      <c r="CT3" s="1860" t="s">
        <v>296</v>
      </c>
      <c r="CU3" s="1860"/>
      <c r="CV3" s="1860"/>
      <c r="CW3" s="1860"/>
      <c r="CX3" s="1860"/>
      <c r="CY3" s="1860"/>
      <c r="CZ3" s="1860"/>
      <c r="DA3" s="1861"/>
      <c r="DB3" s="1860" t="s">
        <v>297</v>
      </c>
      <c r="DC3" s="1860"/>
      <c r="DD3" s="1860"/>
      <c r="DE3" s="1860"/>
      <c r="DF3" s="1860"/>
      <c r="DG3" s="1860"/>
      <c r="DH3" s="1860"/>
      <c r="DI3" s="1861"/>
      <c r="DJ3" s="1857" t="s">
        <v>309</v>
      </c>
      <c r="DK3" s="1857"/>
      <c r="DL3" s="1857"/>
      <c r="DM3" s="1857"/>
      <c r="DN3" s="1857"/>
      <c r="DO3" s="1857"/>
      <c r="DP3" s="1857"/>
      <c r="DQ3" s="1858"/>
      <c r="DR3" s="1860" t="s">
        <v>310</v>
      </c>
      <c r="DS3" s="1860"/>
      <c r="DT3" s="1860"/>
      <c r="DU3" s="1860"/>
      <c r="DV3" s="1860"/>
      <c r="DW3" s="1860"/>
      <c r="DX3" s="1860"/>
      <c r="DY3" s="1861"/>
      <c r="DZ3" s="1860" t="s">
        <v>311</v>
      </c>
      <c r="EA3" s="1860"/>
      <c r="EB3" s="1860"/>
      <c r="EC3" s="1860"/>
      <c r="ED3" s="1860"/>
      <c r="EE3" s="1860"/>
      <c r="EF3" s="1860"/>
      <c r="EG3" s="1861"/>
      <c r="EH3" s="1859" t="s">
        <v>312</v>
      </c>
      <c r="EI3" s="1860"/>
      <c r="EJ3" s="1860"/>
      <c r="EK3" s="1860"/>
      <c r="EL3" s="1860"/>
      <c r="EM3" s="1860"/>
      <c r="EN3" s="1860"/>
      <c r="EO3" s="1861"/>
      <c r="EP3" s="1862" t="s">
        <v>313</v>
      </c>
      <c r="EQ3" s="1857"/>
      <c r="ER3" s="1857"/>
      <c r="ES3" s="1857"/>
      <c r="ET3" s="1857"/>
      <c r="EU3" s="1857"/>
      <c r="EV3" s="1857"/>
      <c r="EW3" s="1858"/>
      <c r="EX3" s="1868" t="s">
        <v>314</v>
      </c>
      <c r="EY3" s="1869"/>
      <c r="EZ3" s="1869"/>
      <c r="FA3" s="1869"/>
      <c r="FB3" s="1869"/>
      <c r="FC3" s="1869"/>
      <c r="FD3" s="1869"/>
      <c r="FE3" s="1870"/>
      <c r="FF3" s="1859" t="s">
        <v>315</v>
      </c>
      <c r="FG3" s="1860"/>
      <c r="FH3" s="1860"/>
      <c r="FI3" s="1860"/>
      <c r="FJ3" s="1860"/>
      <c r="FK3" s="1860"/>
      <c r="FL3" s="1860"/>
      <c r="FM3" s="1861"/>
      <c r="FN3" s="1859" t="s">
        <v>298</v>
      </c>
      <c r="FO3" s="1860"/>
      <c r="FP3" s="1860"/>
      <c r="FQ3" s="1860"/>
      <c r="FR3" s="1860"/>
      <c r="FS3" s="1860"/>
      <c r="FT3" s="1860"/>
      <c r="FU3" s="1861"/>
      <c r="FV3" s="1859" t="s">
        <v>316</v>
      </c>
      <c r="FW3" s="1860"/>
      <c r="FX3" s="1860"/>
      <c r="FY3" s="1860"/>
      <c r="FZ3" s="1860"/>
      <c r="GA3" s="1860"/>
      <c r="GB3" s="1860"/>
      <c r="GC3" s="1861"/>
      <c r="GD3" s="1862" t="s">
        <v>317</v>
      </c>
      <c r="GE3" s="1857"/>
      <c r="GF3" s="1857"/>
      <c r="GG3" s="1857"/>
      <c r="GH3" s="1857"/>
      <c r="GI3" s="1857"/>
      <c r="GJ3" s="1857"/>
      <c r="GK3" s="1858"/>
    </row>
    <row r="4" spans="1:193" s="1187" customFormat="1" ht="68.25" thickBot="1">
      <c r="A4" s="1864"/>
      <c r="B4" s="1179" t="s">
        <v>225</v>
      </c>
      <c r="C4" s="1180" t="s">
        <v>226</v>
      </c>
      <c r="D4" s="1180" t="s">
        <v>227</v>
      </c>
      <c r="E4" s="1180" t="s">
        <v>228</v>
      </c>
      <c r="F4" s="1180" t="s">
        <v>229</v>
      </c>
      <c r="G4" s="1180" t="s">
        <v>230</v>
      </c>
      <c r="H4" s="1181" t="s">
        <v>231</v>
      </c>
      <c r="I4" s="1182" t="s">
        <v>232</v>
      </c>
      <c r="J4" s="1183" t="s">
        <v>225</v>
      </c>
      <c r="K4" s="1184" t="s">
        <v>226</v>
      </c>
      <c r="L4" s="1184" t="s">
        <v>227</v>
      </c>
      <c r="M4" s="1184" t="s">
        <v>228</v>
      </c>
      <c r="N4" s="1184" t="s">
        <v>229</v>
      </c>
      <c r="O4" s="1184" t="s">
        <v>230</v>
      </c>
      <c r="P4" s="1182" t="s">
        <v>231</v>
      </c>
      <c r="Q4" s="1185" t="s">
        <v>232</v>
      </c>
      <c r="R4" s="1183" t="s">
        <v>225</v>
      </c>
      <c r="S4" s="1184" t="s">
        <v>226</v>
      </c>
      <c r="T4" s="1184" t="s">
        <v>227</v>
      </c>
      <c r="U4" s="1184" t="s">
        <v>228</v>
      </c>
      <c r="V4" s="1184" t="s">
        <v>229</v>
      </c>
      <c r="W4" s="1184" t="s">
        <v>230</v>
      </c>
      <c r="X4" s="1182" t="s">
        <v>231</v>
      </c>
      <c r="Y4" s="1185" t="s">
        <v>232</v>
      </c>
      <c r="Z4" s="1183" t="s">
        <v>225</v>
      </c>
      <c r="AA4" s="1184" t="s">
        <v>226</v>
      </c>
      <c r="AB4" s="1184" t="s">
        <v>227</v>
      </c>
      <c r="AC4" s="1184" t="s">
        <v>228</v>
      </c>
      <c r="AD4" s="1184" t="s">
        <v>229</v>
      </c>
      <c r="AE4" s="1184" t="s">
        <v>230</v>
      </c>
      <c r="AF4" s="1182" t="s">
        <v>231</v>
      </c>
      <c r="AG4" s="1182" t="s">
        <v>232</v>
      </c>
      <c r="AH4" s="1183" t="s">
        <v>225</v>
      </c>
      <c r="AI4" s="1184" t="s">
        <v>226</v>
      </c>
      <c r="AJ4" s="1184" t="s">
        <v>227</v>
      </c>
      <c r="AK4" s="1184" t="s">
        <v>228</v>
      </c>
      <c r="AL4" s="1184" t="s">
        <v>229</v>
      </c>
      <c r="AM4" s="1184" t="s">
        <v>230</v>
      </c>
      <c r="AN4" s="1182" t="s">
        <v>231</v>
      </c>
      <c r="AO4" s="1185" t="s">
        <v>232</v>
      </c>
      <c r="AP4" s="1183" t="s">
        <v>225</v>
      </c>
      <c r="AQ4" s="1184" t="s">
        <v>226</v>
      </c>
      <c r="AR4" s="1184" t="s">
        <v>227</v>
      </c>
      <c r="AS4" s="1184" t="s">
        <v>228</v>
      </c>
      <c r="AT4" s="1184" t="s">
        <v>229</v>
      </c>
      <c r="AU4" s="1184" t="s">
        <v>230</v>
      </c>
      <c r="AV4" s="1182" t="s">
        <v>231</v>
      </c>
      <c r="AW4" s="1185" t="s">
        <v>232</v>
      </c>
      <c r="AX4" s="1183" t="s">
        <v>225</v>
      </c>
      <c r="AY4" s="1184" t="s">
        <v>226</v>
      </c>
      <c r="AZ4" s="1184" t="s">
        <v>227</v>
      </c>
      <c r="BA4" s="1184" t="s">
        <v>228</v>
      </c>
      <c r="BB4" s="1184" t="s">
        <v>229</v>
      </c>
      <c r="BC4" s="1184" t="s">
        <v>230</v>
      </c>
      <c r="BD4" s="1182" t="s">
        <v>231</v>
      </c>
      <c r="BE4" s="1185" t="s">
        <v>232</v>
      </c>
      <c r="BF4" s="1179" t="s">
        <v>225</v>
      </c>
      <c r="BG4" s="1180" t="s">
        <v>226</v>
      </c>
      <c r="BH4" s="1180" t="s">
        <v>227</v>
      </c>
      <c r="BI4" s="1180" t="s">
        <v>228</v>
      </c>
      <c r="BJ4" s="1180" t="s">
        <v>233</v>
      </c>
      <c r="BK4" s="1180" t="s">
        <v>234</v>
      </c>
      <c r="BL4" s="1182" t="s">
        <v>231</v>
      </c>
      <c r="BM4" s="1184" t="s">
        <v>232</v>
      </c>
      <c r="BN4" s="1183" t="s">
        <v>225</v>
      </c>
      <c r="BO4" s="1184" t="s">
        <v>226</v>
      </c>
      <c r="BP4" s="1184" t="s">
        <v>227</v>
      </c>
      <c r="BQ4" s="1184" t="s">
        <v>228</v>
      </c>
      <c r="BR4" s="1184" t="s">
        <v>229</v>
      </c>
      <c r="BS4" s="1184" t="s">
        <v>230</v>
      </c>
      <c r="BT4" s="1182" t="s">
        <v>231</v>
      </c>
      <c r="BU4" s="1184" t="s">
        <v>232</v>
      </c>
      <c r="BV4" s="1183" t="s">
        <v>225</v>
      </c>
      <c r="BW4" s="1184" t="s">
        <v>226</v>
      </c>
      <c r="BX4" s="1184" t="s">
        <v>227</v>
      </c>
      <c r="BY4" s="1184" t="s">
        <v>228</v>
      </c>
      <c r="BZ4" s="1184" t="s">
        <v>229</v>
      </c>
      <c r="CA4" s="1184" t="s">
        <v>230</v>
      </c>
      <c r="CB4" s="1182" t="s">
        <v>231</v>
      </c>
      <c r="CC4" s="1478" t="s">
        <v>232</v>
      </c>
      <c r="CD4" s="1183" t="s">
        <v>225</v>
      </c>
      <c r="CE4" s="1184" t="s">
        <v>226</v>
      </c>
      <c r="CF4" s="1184" t="s">
        <v>227</v>
      </c>
      <c r="CG4" s="1184" t="s">
        <v>228</v>
      </c>
      <c r="CH4" s="1184" t="s">
        <v>229</v>
      </c>
      <c r="CI4" s="1184" t="s">
        <v>230</v>
      </c>
      <c r="CJ4" s="1182" t="s">
        <v>231</v>
      </c>
      <c r="CK4" s="1185" t="s">
        <v>232</v>
      </c>
      <c r="CL4" s="1183" t="s">
        <v>225</v>
      </c>
      <c r="CM4" s="1184" t="s">
        <v>226</v>
      </c>
      <c r="CN4" s="1184" t="s">
        <v>227</v>
      </c>
      <c r="CO4" s="1184" t="s">
        <v>228</v>
      </c>
      <c r="CP4" s="1184" t="s">
        <v>229</v>
      </c>
      <c r="CQ4" s="1184" t="s">
        <v>230</v>
      </c>
      <c r="CR4" s="1182" t="s">
        <v>231</v>
      </c>
      <c r="CS4" s="1185" t="s">
        <v>232</v>
      </c>
      <c r="CT4" s="1186" t="s">
        <v>225</v>
      </c>
      <c r="CU4" s="1184" t="s">
        <v>226</v>
      </c>
      <c r="CV4" s="1184" t="s">
        <v>227</v>
      </c>
      <c r="CW4" s="1184" t="s">
        <v>228</v>
      </c>
      <c r="CX4" s="1184" t="s">
        <v>229</v>
      </c>
      <c r="CY4" s="1184" t="s">
        <v>230</v>
      </c>
      <c r="CZ4" s="1185" t="s">
        <v>231</v>
      </c>
      <c r="DA4" s="1182" t="s">
        <v>232</v>
      </c>
      <c r="DB4" s="1186" t="s">
        <v>225</v>
      </c>
      <c r="DC4" s="1184" t="s">
        <v>226</v>
      </c>
      <c r="DD4" s="1184" t="s">
        <v>227</v>
      </c>
      <c r="DE4" s="1184" t="s">
        <v>228</v>
      </c>
      <c r="DF4" s="1184" t="s">
        <v>229</v>
      </c>
      <c r="DG4" s="1184" t="s">
        <v>230</v>
      </c>
      <c r="DH4" s="1182" t="s">
        <v>231</v>
      </c>
      <c r="DI4" s="1182" t="s">
        <v>232</v>
      </c>
      <c r="DJ4" s="1186" t="s">
        <v>225</v>
      </c>
      <c r="DK4" s="1184" t="s">
        <v>226</v>
      </c>
      <c r="DL4" s="1184" t="s">
        <v>227</v>
      </c>
      <c r="DM4" s="1184" t="s">
        <v>228</v>
      </c>
      <c r="DN4" s="1184" t="s">
        <v>229</v>
      </c>
      <c r="DO4" s="1184" t="s">
        <v>230</v>
      </c>
      <c r="DP4" s="1182" t="s">
        <v>231</v>
      </c>
      <c r="DQ4" s="1182" t="s">
        <v>232</v>
      </c>
      <c r="DR4" s="1186" t="s">
        <v>225</v>
      </c>
      <c r="DS4" s="1184" t="s">
        <v>226</v>
      </c>
      <c r="DT4" s="1184" t="s">
        <v>227</v>
      </c>
      <c r="DU4" s="1184" t="s">
        <v>228</v>
      </c>
      <c r="DV4" s="1184" t="s">
        <v>229</v>
      </c>
      <c r="DW4" s="1184" t="s">
        <v>230</v>
      </c>
      <c r="DX4" s="1182" t="s">
        <v>231</v>
      </c>
      <c r="DY4" s="1182" t="s">
        <v>232</v>
      </c>
      <c r="DZ4" s="1186" t="s">
        <v>225</v>
      </c>
      <c r="EA4" s="1184" t="s">
        <v>226</v>
      </c>
      <c r="EB4" s="1184" t="s">
        <v>227</v>
      </c>
      <c r="EC4" s="1184" t="s">
        <v>228</v>
      </c>
      <c r="ED4" s="1184" t="s">
        <v>229</v>
      </c>
      <c r="EE4" s="1184" t="s">
        <v>230</v>
      </c>
      <c r="EF4" s="1182" t="s">
        <v>231</v>
      </c>
      <c r="EG4" s="1182" t="s">
        <v>232</v>
      </c>
      <c r="EH4" s="1186" t="s">
        <v>225</v>
      </c>
      <c r="EI4" s="1184" t="s">
        <v>226</v>
      </c>
      <c r="EJ4" s="1184" t="s">
        <v>227</v>
      </c>
      <c r="EK4" s="1184" t="s">
        <v>228</v>
      </c>
      <c r="EL4" s="1184" t="s">
        <v>229</v>
      </c>
      <c r="EM4" s="1184" t="s">
        <v>230</v>
      </c>
      <c r="EN4" s="1182" t="s">
        <v>231</v>
      </c>
      <c r="EO4" s="1182" t="s">
        <v>232</v>
      </c>
      <c r="EP4" s="1186" t="s">
        <v>225</v>
      </c>
      <c r="EQ4" s="1184" t="s">
        <v>226</v>
      </c>
      <c r="ER4" s="1184" t="s">
        <v>227</v>
      </c>
      <c r="ES4" s="1184" t="s">
        <v>228</v>
      </c>
      <c r="ET4" s="1184" t="s">
        <v>229</v>
      </c>
      <c r="EU4" s="1184" t="s">
        <v>230</v>
      </c>
      <c r="EV4" s="1182" t="s">
        <v>231</v>
      </c>
      <c r="EW4" s="1182" t="s">
        <v>232</v>
      </c>
      <c r="EX4" s="1183" t="s">
        <v>225</v>
      </c>
      <c r="EY4" s="1184" t="s">
        <v>226</v>
      </c>
      <c r="EZ4" s="1184" t="s">
        <v>227</v>
      </c>
      <c r="FA4" s="1184" t="s">
        <v>228</v>
      </c>
      <c r="FB4" s="1184" t="s">
        <v>229</v>
      </c>
      <c r="FC4" s="1184" t="s">
        <v>230</v>
      </c>
      <c r="FD4" s="1182" t="s">
        <v>231</v>
      </c>
      <c r="FE4" s="1182" t="s">
        <v>232</v>
      </c>
      <c r="FF4" s="1183" t="s">
        <v>225</v>
      </c>
      <c r="FG4" s="1184" t="s">
        <v>226</v>
      </c>
      <c r="FH4" s="1184" t="s">
        <v>227</v>
      </c>
      <c r="FI4" s="1184" t="s">
        <v>228</v>
      </c>
      <c r="FJ4" s="1184" t="s">
        <v>229</v>
      </c>
      <c r="FK4" s="1184" t="s">
        <v>230</v>
      </c>
      <c r="FL4" s="1182" t="s">
        <v>231</v>
      </c>
      <c r="FM4" s="1185" t="s">
        <v>232</v>
      </c>
      <c r="FN4" s="1183" t="s">
        <v>225</v>
      </c>
      <c r="FO4" s="1184" t="s">
        <v>226</v>
      </c>
      <c r="FP4" s="1184" t="s">
        <v>227</v>
      </c>
      <c r="FQ4" s="1184" t="s">
        <v>228</v>
      </c>
      <c r="FR4" s="1184" t="s">
        <v>229</v>
      </c>
      <c r="FS4" s="1184" t="s">
        <v>230</v>
      </c>
      <c r="FT4" s="1182" t="s">
        <v>231</v>
      </c>
      <c r="FU4" s="1182" t="s">
        <v>232</v>
      </c>
      <c r="FV4" s="1186" t="s">
        <v>225</v>
      </c>
      <c r="FW4" s="1184" t="s">
        <v>226</v>
      </c>
      <c r="FX4" s="1184" t="s">
        <v>227</v>
      </c>
      <c r="FY4" s="1184" t="s">
        <v>228</v>
      </c>
      <c r="FZ4" s="1184" t="s">
        <v>229</v>
      </c>
      <c r="GA4" s="1184" t="s">
        <v>230</v>
      </c>
      <c r="GB4" s="1182" t="s">
        <v>231</v>
      </c>
      <c r="GC4" s="1182" t="s">
        <v>232</v>
      </c>
      <c r="GD4" s="1183" t="s">
        <v>225</v>
      </c>
      <c r="GE4" s="1184" t="s">
        <v>226</v>
      </c>
      <c r="GF4" s="1184" t="s">
        <v>227</v>
      </c>
      <c r="GG4" s="1184" t="s">
        <v>228</v>
      </c>
      <c r="GH4" s="1184" t="s">
        <v>229</v>
      </c>
      <c r="GI4" s="1184" t="s">
        <v>230</v>
      </c>
      <c r="GJ4" s="1182" t="s">
        <v>231</v>
      </c>
      <c r="GK4" s="1182" t="s">
        <v>232</v>
      </c>
    </row>
    <row r="5" spans="1:193" ht="14.25">
      <c r="A5" s="496" t="s">
        <v>235</v>
      </c>
      <c r="B5" s="1383"/>
      <c r="C5" s="479">
        <v>6554</v>
      </c>
      <c r="D5" s="771">
        <v>269</v>
      </c>
      <c r="E5" s="479">
        <v>70</v>
      </c>
      <c r="F5" s="479">
        <v>74</v>
      </c>
      <c r="G5" s="759">
        <v>25</v>
      </c>
      <c r="H5" s="764">
        <f>SUM(B5:G5)</f>
        <v>6992</v>
      </c>
      <c r="I5" s="480">
        <v>312.38</v>
      </c>
      <c r="J5" s="481"/>
      <c r="K5" s="482">
        <v>227</v>
      </c>
      <c r="L5" s="482">
        <v>1</v>
      </c>
      <c r="M5" s="482"/>
      <c r="N5" s="482"/>
      <c r="O5" s="483"/>
      <c r="P5" s="484">
        <f>SUM(J5:O5)</f>
        <v>228</v>
      </c>
      <c r="Q5" s="480">
        <v>5.78</v>
      </c>
      <c r="R5" s="481"/>
      <c r="S5" s="482">
        <v>1806</v>
      </c>
      <c r="T5" s="482">
        <v>460</v>
      </c>
      <c r="U5" s="482">
        <v>183</v>
      </c>
      <c r="V5" s="482">
        <v>1</v>
      </c>
      <c r="W5" s="483">
        <v>3</v>
      </c>
      <c r="X5" s="484">
        <f>SUM(R5:W5)</f>
        <v>2453</v>
      </c>
      <c r="Y5" s="625">
        <v>55.7</v>
      </c>
      <c r="Z5" s="485"/>
      <c r="AA5" s="486">
        <v>43273</v>
      </c>
      <c r="AB5" s="486"/>
      <c r="AC5" s="486"/>
      <c r="AD5" s="486"/>
      <c r="AE5" s="487"/>
      <c r="AF5" s="488">
        <f>SUM(Z5:AE5)</f>
        <v>43273</v>
      </c>
      <c r="AG5" s="484">
        <v>428</v>
      </c>
      <c r="AH5" s="481"/>
      <c r="AI5" s="486">
        <v>582</v>
      </c>
      <c r="AJ5" s="486">
        <v>0</v>
      </c>
      <c r="AK5" s="486">
        <v>0</v>
      </c>
      <c r="AL5" s="486">
        <v>0</v>
      </c>
      <c r="AM5" s="487">
        <v>0</v>
      </c>
      <c r="AN5" s="488">
        <f>SUM(AH5:AM5)</f>
        <v>582</v>
      </c>
      <c r="AO5" s="480">
        <v>15.56</v>
      </c>
      <c r="AP5" s="481"/>
      <c r="AQ5" s="482">
        <v>130</v>
      </c>
      <c r="AR5" s="482">
        <v>10</v>
      </c>
      <c r="AS5" s="482"/>
      <c r="AT5" s="482"/>
      <c r="AU5" s="483"/>
      <c r="AV5" s="484">
        <f>SUM(AP5:AU5)</f>
        <v>140</v>
      </c>
      <c r="AW5" s="480">
        <v>2.89</v>
      </c>
      <c r="AX5" s="481"/>
      <c r="AY5" s="486">
        <v>17</v>
      </c>
      <c r="AZ5" s="486">
        <v>1</v>
      </c>
      <c r="BA5" s="486"/>
      <c r="BB5" s="486"/>
      <c r="BC5" s="487"/>
      <c r="BD5" s="488">
        <f>SUM(AX5:BC5)</f>
        <v>18</v>
      </c>
      <c r="BE5" s="632">
        <v>0.51</v>
      </c>
      <c r="BF5" s="478"/>
      <c r="BG5" s="479"/>
      <c r="BH5" s="479"/>
      <c r="BI5" s="479"/>
      <c r="BJ5" s="479"/>
      <c r="BK5" s="747"/>
      <c r="BL5" s="764">
        <f>SUM(BF5:BK5)</f>
        <v>0</v>
      </c>
      <c r="BM5" s="480"/>
      <c r="BN5" s="481">
        <v>5065</v>
      </c>
      <c r="BO5" s="482">
        <v>16265</v>
      </c>
      <c r="BP5" s="482">
        <v>167</v>
      </c>
      <c r="BQ5" s="482">
        <v>23</v>
      </c>
      <c r="BR5" s="482">
        <v>13</v>
      </c>
      <c r="BS5" s="483">
        <v>11</v>
      </c>
      <c r="BT5" s="484">
        <f>SUM(BN5:BS5)</f>
        <v>21544</v>
      </c>
      <c r="BU5" s="632">
        <v>264.92</v>
      </c>
      <c r="BV5" s="481"/>
      <c r="BW5" s="482">
        <v>1735</v>
      </c>
      <c r="BX5" s="482">
        <v>131</v>
      </c>
      <c r="BY5" s="482">
        <v>30</v>
      </c>
      <c r="BZ5" s="482">
        <v>206</v>
      </c>
      <c r="CA5" s="483">
        <v>313</v>
      </c>
      <c r="CB5" s="484">
        <f>SUM(BV5:CA5)</f>
        <v>2415</v>
      </c>
      <c r="CC5" s="1479">
        <v>25.45</v>
      </c>
      <c r="CD5" s="626">
        <v>7242</v>
      </c>
      <c r="CE5" s="486">
        <v>54057</v>
      </c>
      <c r="CF5" s="486"/>
      <c r="CG5" s="486"/>
      <c r="CH5" s="486"/>
      <c r="CI5" s="487"/>
      <c r="CJ5" s="488">
        <f>SUM(CD5:CI5)</f>
        <v>61299</v>
      </c>
      <c r="CK5" s="480">
        <v>1221.48</v>
      </c>
      <c r="CL5" s="481">
        <v>35345</v>
      </c>
      <c r="CM5" s="482">
        <v>8501</v>
      </c>
      <c r="CN5" s="482">
        <v>1003</v>
      </c>
      <c r="CO5" s="482">
        <v>350</v>
      </c>
      <c r="CP5" s="482">
        <v>751</v>
      </c>
      <c r="CQ5" s="483">
        <v>540</v>
      </c>
      <c r="CR5" s="484">
        <f>SUM(CL5:CQ5)</f>
        <v>46490</v>
      </c>
      <c r="CS5" s="480">
        <v>709.46</v>
      </c>
      <c r="CT5" s="485"/>
      <c r="CU5" s="482">
        <v>3599</v>
      </c>
      <c r="CV5" s="482">
        <v>113</v>
      </c>
      <c r="CW5" s="482">
        <v>2</v>
      </c>
      <c r="CX5" s="482">
        <v>2</v>
      </c>
      <c r="CY5" s="482"/>
      <c r="CZ5" s="489">
        <f>SUM(CT5:CY5)</f>
        <v>3716</v>
      </c>
      <c r="DA5" s="484">
        <v>694.43</v>
      </c>
      <c r="DB5" s="485"/>
      <c r="DC5" s="482">
        <v>457</v>
      </c>
      <c r="DD5" s="482">
        <v>33</v>
      </c>
      <c r="DE5" s="482">
        <v>17</v>
      </c>
      <c r="DF5" s="482">
        <v>4</v>
      </c>
      <c r="DG5" s="483">
        <v>10</v>
      </c>
      <c r="DH5" s="484">
        <f>SUM(DB5:DG5)</f>
        <v>521</v>
      </c>
      <c r="DI5" s="484">
        <v>9.12</v>
      </c>
      <c r="DJ5" s="482">
        <v>2735</v>
      </c>
      <c r="DK5" s="482">
        <v>6327</v>
      </c>
      <c r="DL5" s="482">
        <v>65</v>
      </c>
      <c r="DM5" s="482">
        <v>22</v>
      </c>
      <c r="DN5" s="482">
        <v>27</v>
      </c>
      <c r="DO5" s="483">
        <v>2</v>
      </c>
      <c r="DP5" s="484">
        <f>SUM(DJ5:DO5)</f>
        <v>9178</v>
      </c>
      <c r="DQ5" s="484">
        <v>228.7</v>
      </c>
      <c r="DR5" s="490">
        <v>25491</v>
      </c>
      <c r="DS5" s="486">
        <v>906</v>
      </c>
      <c r="DT5" s="486">
        <v>3</v>
      </c>
      <c r="DU5" s="486">
        <v>6</v>
      </c>
      <c r="DV5" s="486"/>
      <c r="DW5" s="487"/>
      <c r="DX5" s="488">
        <f>SUM(DR5:DW5)</f>
        <v>26406</v>
      </c>
      <c r="DY5" s="484">
        <v>330.17</v>
      </c>
      <c r="DZ5" s="485"/>
      <c r="EA5" s="482">
        <v>2124</v>
      </c>
      <c r="EB5" s="482">
        <v>175</v>
      </c>
      <c r="EC5" s="482">
        <v>512</v>
      </c>
      <c r="ED5" s="482">
        <v>10</v>
      </c>
      <c r="EE5" s="483">
        <v>3</v>
      </c>
      <c r="EF5" s="484">
        <f>SUM(DZ5:EE5)</f>
        <v>2824</v>
      </c>
      <c r="EG5" s="484">
        <v>51.99</v>
      </c>
      <c r="EH5" s="490"/>
      <c r="EI5" s="486">
        <v>11477</v>
      </c>
      <c r="EJ5" s="486">
        <v>2653</v>
      </c>
      <c r="EK5" s="486">
        <v>903</v>
      </c>
      <c r="EL5" s="486">
        <v>2949</v>
      </c>
      <c r="EM5" s="487">
        <v>4543</v>
      </c>
      <c r="EN5" s="488">
        <f>SUM(EH5:EM5)</f>
        <v>22525</v>
      </c>
      <c r="EO5" s="484">
        <v>182.77</v>
      </c>
      <c r="EP5" s="490"/>
      <c r="EQ5" s="486"/>
      <c r="ER5" s="486"/>
      <c r="ES5" s="486"/>
      <c r="ET5" s="486"/>
      <c r="EU5" s="487"/>
      <c r="EV5" s="488">
        <f>SUM(EP5:EU5)</f>
        <v>0</v>
      </c>
      <c r="EW5" s="484"/>
      <c r="EX5" s="491">
        <v>14040</v>
      </c>
      <c r="EY5" s="492">
        <v>203554</v>
      </c>
      <c r="EZ5" s="493">
        <v>260</v>
      </c>
      <c r="FA5" s="493">
        <v>34</v>
      </c>
      <c r="FB5" s="493">
        <v>88</v>
      </c>
      <c r="FC5" s="494">
        <v>10</v>
      </c>
      <c r="FD5" s="495">
        <f>SUM(EX5:FC5)</f>
        <v>217986</v>
      </c>
      <c r="FE5" s="496">
        <v>4811.1</v>
      </c>
      <c r="FF5" s="481">
        <v>193</v>
      </c>
      <c r="FG5" s="482">
        <v>951</v>
      </c>
      <c r="FH5" s="482">
        <v>216</v>
      </c>
      <c r="FI5" s="482">
        <v>103</v>
      </c>
      <c r="FJ5" s="482"/>
      <c r="FK5" s="483"/>
      <c r="FL5" s="484">
        <f>SUM(FF5:FK5)</f>
        <v>1463</v>
      </c>
      <c r="FM5" s="480">
        <v>22.07</v>
      </c>
      <c r="FN5" s="490">
        <v>3172</v>
      </c>
      <c r="FO5" s="486">
        <v>537</v>
      </c>
      <c r="FP5" s="486">
        <v>6</v>
      </c>
      <c r="FQ5" s="486">
        <v>3</v>
      </c>
      <c r="FR5" s="486">
        <v>0</v>
      </c>
      <c r="FS5" s="487">
        <v>2</v>
      </c>
      <c r="FT5" s="488">
        <f>SUM(FN5:FS5)</f>
        <v>3720</v>
      </c>
      <c r="FU5" s="484">
        <v>37.21</v>
      </c>
      <c r="FV5" s="485">
        <v>1630</v>
      </c>
      <c r="FW5" s="482">
        <v>4384</v>
      </c>
      <c r="FX5" s="482">
        <v>14</v>
      </c>
      <c r="FY5" s="482">
        <v>8</v>
      </c>
      <c r="FZ5" s="482"/>
      <c r="GA5" s="483"/>
      <c r="GB5" s="484">
        <f>SUM(FV5:GA5)</f>
        <v>6036</v>
      </c>
      <c r="GC5" s="484">
        <v>200.57</v>
      </c>
      <c r="GD5" s="626">
        <v>5332371</v>
      </c>
      <c r="GE5" s="486">
        <v>3530149</v>
      </c>
      <c r="GF5" s="486">
        <v>1562950</v>
      </c>
      <c r="GG5" s="486">
        <v>600879</v>
      </c>
      <c r="GH5" s="486">
        <v>55757</v>
      </c>
      <c r="GI5" s="487">
        <v>36335</v>
      </c>
      <c r="GJ5" s="488">
        <f>SUM(GD5:GI5)</f>
        <v>11118441</v>
      </c>
      <c r="GK5" s="484">
        <v>112965.34</v>
      </c>
    </row>
    <row r="6" spans="1:193" ht="14.25">
      <c r="A6" s="520" t="s">
        <v>128</v>
      </c>
      <c r="B6" s="1384"/>
      <c r="C6" s="498">
        <v>3439</v>
      </c>
      <c r="D6" s="772">
        <v>246</v>
      </c>
      <c r="E6" s="498">
        <v>18</v>
      </c>
      <c r="F6" s="498">
        <v>2</v>
      </c>
      <c r="G6" s="768"/>
      <c r="H6" s="765">
        <f aca="true" t="shared" si="0" ref="H6:H12">SUM(B6:G6)</f>
        <v>3705</v>
      </c>
      <c r="I6" s="499">
        <v>7.73</v>
      </c>
      <c r="J6" s="500"/>
      <c r="K6" s="501">
        <v>3774</v>
      </c>
      <c r="L6" s="501">
        <v>5</v>
      </c>
      <c r="M6" s="501"/>
      <c r="N6" s="501"/>
      <c r="O6" s="502"/>
      <c r="P6" s="503">
        <f aca="true" t="shared" si="1" ref="P6:P12">SUM(J6:O6)</f>
        <v>3779</v>
      </c>
      <c r="Q6" s="504">
        <v>15.28</v>
      </c>
      <c r="R6" s="505"/>
      <c r="S6" s="501">
        <v>3954</v>
      </c>
      <c r="T6" s="501"/>
      <c r="U6" s="501"/>
      <c r="V6" s="501"/>
      <c r="W6" s="502"/>
      <c r="X6" s="503">
        <f aca="true" t="shared" si="2" ref="X6:X12">SUM(R6:W6)</f>
        <v>3954</v>
      </c>
      <c r="Y6" s="504">
        <v>12.69</v>
      </c>
      <c r="Z6" s="506"/>
      <c r="AA6" s="501">
        <v>38335</v>
      </c>
      <c r="AB6" s="501"/>
      <c r="AC6" s="501"/>
      <c r="AD6" s="501"/>
      <c r="AE6" s="502"/>
      <c r="AF6" s="503">
        <f aca="true" t="shared" si="3" ref="AF6:AF12">SUM(Z6:AE6)</f>
        <v>38335</v>
      </c>
      <c r="AG6" s="507">
        <v>90</v>
      </c>
      <c r="AH6" s="500"/>
      <c r="AI6" s="501">
        <v>19270</v>
      </c>
      <c r="AJ6" s="501"/>
      <c r="AK6" s="501"/>
      <c r="AL6" s="501"/>
      <c r="AM6" s="502"/>
      <c r="AN6" s="503">
        <f aca="true" t="shared" si="4" ref="AN6:AN12">SUM(AH6:AM6)</f>
        <v>19270</v>
      </c>
      <c r="AO6" s="504">
        <v>6.3</v>
      </c>
      <c r="AP6" s="505">
        <v>1</v>
      </c>
      <c r="AQ6" s="501">
        <v>3416</v>
      </c>
      <c r="AR6" s="501">
        <v>18</v>
      </c>
      <c r="AS6" s="501"/>
      <c r="AT6" s="501"/>
      <c r="AU6" s="502"/>
      <c r="AV6" s="503">
        <f aca="true" t="shared" si="5" ref="AV6:AV12">SUM(AP6:AU6)</f>
        <v>3435</v>
      </c>
      <c r="AW6" s="504">
        <v>10.07</v>
      </c>
      <c r="AX6" s="505">
        <v>591</v>
      </c>
      <c r="AY6" s="501">
        <v>4006</v>
      </c>
      <c r="AZ6" s="501">
        <v>281</v>
      </c>
      <c r="BA6" s="501">
        <v>81</v>
      </c>
      <c r="BB6" s="501">
        <v>229</v>
      </c>
      <c r="BC6" s="502">
        <v>12</v>
      </c>
      <c r="BD6" s="503">
        <f aca="true" t="shared" si="6" ref="BD6:BD12">SUM(AX6:BC6)</f>
        <v>5200</v>
      </c>
      <c r="BE6" s="633">
        <v>3.8</v>
      </c>
      <c r="BF6" s="497">
        <v>326</v>
      </c>
      <c r="BG6" s="498">
        <v>71</v>
      </c>
      <c r="BH6" s="498">
        <v>29</v>
      </c>
      <c r="BI6" s="498">
        <v>16</v>
      </c>
      <c r="BJ6" s="498">
        <v>13</v>
      </c>
      <c r="BK6" s="768">
        <v>10</v>
      </c>
      <c r="BL6" s="765">
        <f>SUM(BF6:BK6)</f>
        <v>465</v>
      </c>
      <c r="BM6" s="499">
        <v>2.65</v>
      </c>
      <c r="BN6" s="500">
        <v>27567</v>
      </c>
      <c r="BO6" s="509">
        <v>12921</v>
      </c>
      <c r="BP6" s="509">
        <v>13603</v>
      </c>
      <c r="BQ6" s="509">
        <v>274</v>
      </c>
      <c r="BR6" s="509">
        <v>28</v>
      </c>
      <c r="BS6" s="510">
        <v>17</v>
      </c>
      <c r="BT6" s="507">
        <f aca="true" t="shared" si="7" ref="BT6:BT12">SUM(BN6:BS6)</f>
        <v>54410</v>
      </c>
      <c r="BU6" s="633">
        <v>203.56</v>
      </c>
      <c r="BV6" s="505"/>
      <c r="BW6" s="501">
        <v>2470</v>
      </c>
      <c r="BX6" s="501">
        <v>142</v>
      </c>
      <c r="BY6" s="501">
        <v>4</v>
      </c>
      <c r="BZ6" s="501"/>
      <c r="CA6" s="502"/>
      <c r="CB6" s="503">
        <f aca="true" t="shared" si="8" ref="CB6:CB12">SUM(BV6:CA6)</f>
        <v>2616</v>
      </c>
      <c r="CC6" s="633">
        <v>6.92</v>
      </c>
      <c r="CD6" s="505">
        <v>1742</v>
      </c>
      <c r="CE6" s="501">
        <v>2134</v>
      </c>
      <c r="CF6" s="501"/>
      <c r="CG6" s="501"/>
      <c r="CH6" s="501"/>
      <c r="CI6" s="502"/>
      <c r="CJ6" s="511">
        <f aca="true" t="shared" si="9" ref="CJ6:CJ12">SUM(CD6:CI6)</f>
        <v>3876</v>
      </c>
      <c r="CK6" s="504">
        <v>15.06</v>
      </c>
      <c r="CL6" s="505">
        <v>14724</v>
      </c>
      <c r="CM6" s="501">
        <v>5127</v>
      </c>
      <c r="CN6" s="501">
        <v>1009</v>
      </c>
      <c r="CO6" s="501">
        <v>1580</v>
      </c>
      <c r="CP6" s="501">
        <v>1474</v>
      </c>
      <c r="CQ6" s="502"/>
      <c r="CR6" s="503">
        <f aca="true" t="shared" si="10" ref="CR6:CR12">SUM(CL6:CQ6)</f>
        <v>23914</v>
      </c>
      <c r="CS6" s="504">
        <v>70.06</v>
      </c>
      <c r="CT6" s="636"/>
      <c r="CU6" s="512">
        <v>15906</v>
      </c>
      <c r="CV6" s="512">
        <v>7</v>
      </c>
      <c r="CW6" s="512">
        <v>9</v>
      </c>
      <c r="CX6" s="512">
        <v>2</v>
      </c>
      <c r="CY6" s="512"/>
      <c r="CZ6" s="513">
        <f aca="true" t="shared" si="11" ref="CZ6:CZ12">SUM(CT6:CY6)</f>
        <v>15924</v>
      </c>
      <c r="DA6" s="514">
        <v>54.81</v>
      </c>
      <c r="DB6" s="508"/>
      <c r="DC6" s="501">
        <v>2705</v>
      </c>
      <c r="DD6" s="501">
        <v>100</v>
      </c>
      <c r="DE6" s="501">
        <v>48</v>
      </c>
      <c r="DF6" s="501">
        <v>57</v>
      </c>
      <c r="DG6" s="502">
        <v>1</v>
      </c>
      <c r="DH6" s="503">
        <f aca="true" t="shared" si="12" ref="DH6:DH12">SUM(DB6:DG6)</f>
        <v>2911</v>
      </c>
      <c r="DI6" s="507">
        <v>8.08</v>
      </c>
      <c r="DJ6" s="501">
        <v>5810</v>
      </c>
      <c r="DK6" s="501">
        <v>290</v>
      </c>
      <c r="DL6" s="501">
        <v>109</v>
      </c>
      <c r="DM6" s="501">
        <v>66</v>
      </c>
      <c r="DN6" s="501">
        <v>43</v>
      </c>
      <c r="DO6" s="502"/>
      <c r="DP6" s="503">
        <f aca="true" t="shared" si="13" ref="DP6:DP12">SUM(DJ6:DO6)</f>
        <v>6318</v>
      </c>
      <c r="DQ6" s="507">
        <v>21.24</v>
      </c>
      <c r="DR6" s="508">
        <v>9750</v>
      </c>
      <c r="DS6" s="501"/>
      <c r="DT6" s="501"/>
      <c r="DU6" s="501"/>
      <c r="DV6" s="501"/>
      <c r="DW6" s="502"/>
      <c r="DX6" s="503">
        <f aca="true" t="shared" si="14" ref="DX6:DX12">SUM(DR6:DW6)</f>
        <v>9750</v>
      </c>
      <c r="DY6" s="507">
        <v>22.52</v>
      </c>
      <c r="DZ6" s="508"/>
      <c r="EA6" s="501">
        <v>7076</v>
      </c>
      <c r="EB6" s="501">
        <v>170</v>
      </c>
      <c r="EC6" s="501">
        <v>270</v>
      </c>
      <c r="ED6" s="501">
        <v>231</v>
      </c>
      <c r="EE6" s="502"/>
      <c r="EF6" s="503">
        <f aca="true" t="shared" si="15" ref="EF6:EF12">SUM(DZ6:EE6)</f>
        <v>7747</v>
      </c>
      <c r="EG6" s="507">
        <v>19.81</v>
      </c>
      <c r="EH6" s="508"/>
      <c r="EI6" s="501">
        <v>32029</v>
      </c>
      <c r="EJ6" s="501">
        <v>1146</v>
      </c>
      <c r="EK6" s="501">
        <v>1113</v>
      </c>
      <c r="EL6" s="501">
        <v>1691</v>
      </c>
      <c r="EM6" s="502">
        <v>38537</v>
      </c>
      <c r="EN6" s="503">
        <f aca="true" t="shared" si="16" ref="EN6:EN12">SUM(EH6:EM6)</f>
        <v>74516</v>
      </c>
      <c r="EO6" s="507">
        <v>251.54</v>
      </c>
      <c r="EP6" s="515"/>
      <c r="EQ6" s="501"/>
      <c r="ER6" s="501"/>
      <c r="ES6" s="501"/>
      <c r="ET6" s="501"/>
      <c r="EU6" s="502"/>
      <c r="EV6" s="503">
        <f aca="true" t="shared" si="17" ref="EV6:EV12">SUM(EP6:EU6)</f>
        <v>0</v>
      </c>
      <c r="EW6" s="507"/>
      <c r="EX6" s="516">
        <v>62035</v>
      </c>
      <c r="EY6" s="517">
        <v>5710</v>
      </c>
      <c r="EZ6" s="517">
        <v>62</v>
      </c>
      <c r="FA6" s="517">
        <v>13</v>
      </c>
      <c r="FB6" s="517">
        <v>7</v>
      </c>
      <c r="FC6" s="518">
        <v>9</v>
      </c>
      <c r="FD6" s="519">
        <f aca="true" t="shared" si="18" ref="FD6:FD12">SUM(EX6:FC6)</f>
        <v>67836</v>
      </c>
      <c r="FE6" s="520">
        <v>256.55</v>
      </c>
      <c r="FF6" s="521">
        <v>555</v>
      </c>
      <c r="FG6" s="522">
        <v>1251</v>
      </c>
      <c r="FH6" s="522">
        <v>965</v>
      </c>
      <c r="FI6" s="522">
        <v>118</v>
      </c>
      <c r="FJ6" s="522">
        <v>131</v>
      </c>
      <c r="FK6" s="523">
        <v>15</v>
      </c>
      <c r="FL6" s="524">
        <f aca="true" t="shared" si="19" ref="FL6:FL12">SUM(FF6:FK6)</f>
        <v>3035</v>
      </c>
      <c r="FM6" s="525">
        <v>11.11</v>
      </c>
      <c r="FN6" s="526">
        <v>4310</v>
      </c>
      <c r="FO6" s="527">
        <v>148</v>
      </c>
      <c r="FP6" s="527">
        <v>7</v>
      </c>
      <c r="FQ6" s="527">
        <v>8</v>
      </c>
      <c r="FR6" s="527">
        <v>1</v>
      </c>
      <c r="FS6" s="528"/>
      <c r="FT6" s="529">
        <f aca="true" t="shared" si="20" ref="FT6:FT12">SUM(FN6:FS6)</f>
        <v>4474</v>
      </c>
      <c r="FU6" s="530">
        <v>44.74</v>
      </c>
      <c r="FV6" s="508">
        <v>95031</v>
      </c>
      <c r="FW6" s="501">
        <v>1329</v>
      </c>
      <c r="FX6" s="501">
        <v>4</v>
      </c>
      <c r="FY6" s="501">
        <v>1</v>
      </c>
      <c r="FZ6" s="501"/>
      <c r="GA6" s="502"/>
      <c r="GB6" s="503">
        <f aca="true" t="shared" si="21" ref="GB6:GB12">SUM(FV6:GA6)</f>
        <v>96365</v>
      </c>
      <c r="GC6" s="507">
        <v>81.53</v>
      </c>
      <c r="GD6" s="637">
        <v>11156746</v>
      </c>
      <c r="GE6" s="527">
        <v>1285330</v>
      </c>
      <c r="GF6" s="527">
        <v>809328</v>
      </c>
      <c r="GG6" s="527">
        <v>420665</v>
      </c>
      <c r="GH6" s="527">
        <v>78937</v>
      </c>
      <c r="GI6" s="528">
        <v>92621</v>
      </c>
      <c r="GJ6" s="529">
        <f aca="true" t="shared" si="22" ref="GJ6:GJ12">SUM(GD6:GI6)</f>
        <v>13843627</v>
      </c>
      <c r="GK6" s="530">
        <v>32670.72</v>
      </c>
    </row>
    <row r="7" spans="1:193" ht="14.25">
      <c r="A7" s="520" t="s">
        <v>236</v>
      </c>
      <c r="B7" s="1385">
        <v>2695</v>
      </c>
      <c r="C7" s="498"/>
      <c r="D7" s="498"/>
      <c r="E7" s="498"/>
      <c r="F7" s="498"/>
      <c r="G7" s="768"/>
      <c r="H7" s="765">
        <f t="shared" si="0"/>
        <v>2695</v>
      </c>
      <c r="I7" s="499">
        <v>2.7</v>
      </c>
      <c r="J7" s="500"/>
      <c r="K7" s="501"/>
      <c r="L7" s="501"/>
      <c r="M7" s="501"/>
      <c r="N7" s="501"/>
      <c r="O7" s="502"/>
      <c r="P7" s="503">
        <f t="shared" si="1"/>
        <v>0</v>
      </c>
      <c r="Q7" s="504"/>
      <c r="R7" s="505"/>
      <c r="S7" s="501">
        <v>1419</v>
      </c>
      <c r="T7" s="501">
        <v>52</v>
      </c>
      <c r="U7" s="501">
        <v>50</v>
      </c>
      <c r="V7" s="501">
        <v>39</v>
      </c>
      <c r="W7" s="502">
        <v>34</v>
      </c>
      <c r="X7" s="503">
        <f t="shared" si="2"/>
        <v>1594</v>
      </c>
      <c r="Y7" s="504">
        <v>0.5</v>
      </c>
      <c r="Z7" s="506"/>
      <c r="AA7" s="501">
        <v>4578</v>
      </c>
      <c r="AB7" s="501"/>
      <c r="AC7" s="501"/>
      <c r="AD7" s="501"/>
      <c r="AE7" s="502"/>
      <c r="AF7" s="503">
        <f t="shared" si="3"/>
        <v>4578</v>
      </c>
      <c r="AG7" s="507">
        <v>2</v>
      </c>
      <c r="AH7" s="500"/>
      <c r="AI7" s="501">
        <v>74</v>
      </c>
      <c r="AJ7" s="501"/>
      <c r="AK7" s="501"/>
      <c r="AL7" s="501"/>
      <c r="AM7" s="502"/>
      <c r="AN7" s="503">
        <f t="shared" si="4"/>
        <v>74</v>
      </c>
      <c r="AO7" s="504">
        <v>2.46</v>
      </c>
      <c r="AP7" s="505">
        <v>267</v>
      </c>
      <c r="AQ7" s="501">
        <v>12</v>
      </c>
      <c r="AR7" s="501">
        <v>12</v>
      </c>
      <c r="AS7" s="501">
        <v>7</v>
      </c>
      <c r="AT7" s="501">
        <v>11</v>
      </c>
      <c r="AU7" s="502">
        <v>13</v>
      </c>
      <c r="AV7" s="503">
        <f t="shared" si="5"/>
        <v>322</v>
      </c>
      <c r="AW7" s="504">
        <v>2.37</v>
      </c>
      <c r="AX7" s="505"/>
      <c r="AY7" s="501"/>
      <c r="AZ7" s="501"/>
      <c r="BA7" s="501"/>
      <c r="BB7" s="501"/>
      <c r="BC7" s="502"/>
      <c r="BD7" s="503">
        <f t="shared" si="6"/>
        <v>0</v>
      </c>
      <c r="BE7" s="633"/>
      <c r="BF7" s="534">
        <v>470</v>
      </c>
      <c r="BG7" s="498">
        <v>2</v>
      </c>
      <c r="BH7" s="498">
        <v>26</v>
      </c>
      <c r="BI7" s="498">
        <v>21</v>
      </c>
      <c r="BJ7" s="498">
        <v>9</v>
      </c>
      <c r="BK7" s="768">
        <v>1</v>
      </c>
      <c r="BL7" s="765">
        <f>SUM(BF7:BK7)</f>
        <v>529</v>
      </c>
      <c r="BM7" s="499">
        <v>0.55</v>
      </c>
      <c r="BN7" s="505"/>
      <c r="BO7" s="501">
        <v>2774</v>
      </c>
      <c r="BP7" s="501"/>
      <c r="BQ7" s="501"/>
      <c r="BR7" s="501"/>
      <c r="BS7" s="502"/>
      <c r="BT7" s="503">
        <f t="shared" si="7"/>
        <v>2774</v>
      </c>
      <c r="BU7" s="633">
        <v>2.44</v>
      </c>
      <c r="BV7" s="505"/>
      <c r="BW7" s="501">
        <v>552</v>
      </c>
      <c r="BX7" s="501">
        <v>52</v>
      </c>
      <c r="BY7" s="501">
        <v>29</v>
      </c>
      <c r="BZ7" s="501">
        <v>4</v>
      </c>
      <c r="CA7" s="502">
        <v>545</v>
      </c>
      <c r="CB7" s="503">
        <f t="shared" si="8"/>
        <v>1182</v>
      </c>
      <c r="CC7" s="633">
        <v>13.98</v>
      </c>
      <c r="CD7" s="505">
        <v>57359</v>
      </c>
      <c r="CE7" s="501">
        <v>6801</v>
      </c>
      <c r="CF7" s="501">
        <v>4</v>
      </c>
      <c r="CG7" s="501">
        <v>3</v>
      </c>
      <c r="CH7" s="501"/>
      <c r="CI7" s="502"/>
      <c r="CJ7" s="511">
        <f t="shared" si="9"/>
        <v>64167</v>
      </c>
      <c r="CK7" s="504">
        <v>211.17</v>
      </c>
      <c r="CL7" s="505">
        <v>10091</v>
      </c>
      <c r="CM7" s="501">
        <v>2320</v>
      </c>
      <c r="CN7" s="501">
        <v>9587</v>
      </c>
      <c r="CO7" s="501">
        <v>837</v>
      </c>
      <c r="CP7" s="501">
        <v>10112</v>
      </c>
      <c r="CQ7" s="502">
        <v>121</v>
      </c>
      <c r="CR7" s="503">
        <f t="shared" si="10"/>
        <v>33068</v>
      </c>
      <c r="CS7" s="504">
        <v>48.85</v>
      </c>
      <c r="CT7" s="636"/>
      <c r="CU7" s="512"/>
      <c r="CV7" s="512"/>
      <c r="CW7" s="512"/>
      <c r="CX7" s="512"/>
      <c r="CY7" s="512"/>
      <c r="CZ7" s="513">
        <f t="shared" si="11"/>
        <v>0</v>
      </c>
      <c r="DA7" s="514"/>
      <c r="DB7" s="508"/>
      <c r="DC7" s="501">
        <v>14</v>
      </c>
      <c r="DD7" s="501"/>
      <c r="DE7" s="501"/>
      <c r="DF7" s="501"/>
      <c r="DG7" s="502"/>
      <c r="DH7" s="503">
        <f t="shared" si="12"/>
        <v>14</v>
      </c>
      <c r="DI7" s="507">
        <v>0.02</v>
      </c>
      <c r="DJ7" s="501">
        <v>998</v>
      </c>
      <c r="DK7" s="501">
        <v>175</v>
      </c>
      <c r="DL7" s="501"/>
      <c r="DM7" s="501"/>
      <c r="DN7" s="501"/>
      <c r="DO7" s="502">
        <v>1</v>
      </c>
      <c r="DP7" s="503">
        <f t="shared" si="13"/>
        <v>1174</v>
      </c>
      <c r="DQ7" s="507">
        <v>2.47</v>
      </c>
      <c r="DR7" s="508">
        <v>736</v>
      </c>
      <c r="DS7" s="501"/>
      <c r="DT7" s="501"/>
      <c r="DU7" s="501"/>
      <c r="DV7" s="501"/>
      <c r="DW7" s="502"/>
      <c r="DX7" s="503">
        <f t="shared" si="14"/>
        <v>736</v>
      </c>
      <c r="DY7" s="507">
        <v>1.8</v>
      </c>
      <c r="DZ7" s="508"/>
      <c r="EA7" s="501">
        <v>17</v>
      </c>
      <c r="EB7" s="501"/>
      <c r="EC7" s="501"/>
      <c r="ED7" s="501"/>
      <c r="EE7" s="502"/>
      <c r="EF7" s="503">
        <f t="shared" si="15"/>
        <v>17</v>
      </c>
      <c r="EG7" s="507">
        <v>0.02</v>
      </c>
      <c r="EH7" s="508"/>
      <c r="EI7" s="501">
        <v>846</v>
      </c>
      <c r="EJ7" s="501">
        <v>29</v>
      </c>
      <c r="EK7" s="501"/>
      <c r="EL7" s="501"/>
      <c r="EM7" s="502"/>
      <c r="EN7" s="503">
        <f t="shared" si="16"/>
        <v>875</v>
      </c>
      <c r="EO7" s="507">
        <v>0.69</v>
      </c>
      <c r="EP7" s="515"/>
      <c r="EQ7" s="501"/>
      <c r="ER7" s="501"/>
      <c r="ES7" s="501"/>
      <c r="ET7" s="501"/>
      <c r="EU7" s="502"/>
      <c r="EV7" s="503">
        <f t="shared" si="17"/>
        <v>0</v>
      </c>
      <c r="EW7" s="507"/>
      <c r="EX7" s="516">
        <v>112710</v>
      </c>
      <c r="EY7" s="517"/>
      <c r="EZ7" s="517"/>
      <c r="FA7" s="517"/>
      <c r="FB7" s="517"/>
      <c r="FC7" s="518"/>
      <c r="FD7" s="519">
        <f t="shared" si="18"/>
        <v>112710</v>
      </c>
      <c r="FE7" s="520">
        <v>50.08</v>
      </c>
      <c r="FF7" s="521">
        <v>161</v>
      </c>
      <c r="FG7" s="522">
        <v>6</v>
      </c>
      <c r="FH7" s="522"/>
      <c r="FI7" s="522"/>
      <c r="FJ7" s="522"/>
      <c r="FK7" s="523"/>
      <c r="FL7" s="524">
        <f t="shared" si="19"/>
        <v>167</v>
      </c>
      <c r="FM7" s="525">
        <v>0.1</v>
      </c>
      <c r="FN7" s="526">
        <v>0</v>
      </c>
      <c r="FO7" s="527">
        <v>2673</v>
      </c>
      <c r="FP7" s="527">
        <v>0</v>
      </c>
      <c r="FQ7" s="527">
        <v>0</v>
      </c>
      <c r="FR7" s="527">
        <v>0</v>
      </c>
      <c r="FS7" s="528"/>
      <c r="FT7" s="529">
        <f t="shared" si="20"/>
        <v>2673</v>
      </c>
      <c r="FU7" s="530">
        <v>26.73</v>
      </c>
      <c r="FV7" s="508">
        <v>446</v>
      </c>
      <c r="FW7" s="501">
        <v>61</v>
      </c>
      <c r="FX7" s="501"/>
      <c r="FY7" s="501"/>
      <c r="FZ7" s="501"/>
      <c r="GA7" s="502"/>
      <c r="GB7" s="503">
        <f t="shared" si="21"/>
        <v>507</v>
      </c>
      <c r="GC7" s="507">
        <v>0.64</v>
      </c>
      <c r="GD7" s="637">
        <v>21791403</v>
      </c>
      <c r="GE7" s="527">
        <v>2399405</v>
      </c>
      <c r="GF7" s="527">
        <v>226950</v>
      </c>
      <c r="GG7" s="527">
        <v>150903</v>
      </c>
      <c r="GH7" s="527">
        <v>131200</v>
      </c>
      <c r="GI7" s="528">
        <v>229321</v>
      </c>
      <c r="GJ7" s="529">
        <f t="shared" si="22"/>
        <v>24929182</v>
      </c>
      <c r="GK7" s="530">
        <v>106113.27</v>
      </c>
    </row>
    <row r="8" spans="1:193" ht="14.25">
      <c r="A8" s="520" t="s">
        <v>130</v>
      </c>
      <c r="B8" s="1385"/>
      <c r="C8" s="498">
        <v>17934</v>
      </c>
      <c r="D8" s="498">
        <v>9</v>
      </c>
      <c r="E8" s="498"/>
      <c r="F8" s="498"/>
      <c r="G8" s="768"/>
      <c r="H8" s="765">
        <f t="shared" si="0"/>
        <v>17943</v>
      </c>
      <c r="I8" s="499">
        <v>434.45</v>
      </c>
      <c r="J8" s="500"/>
      <c r="K8" s="501">
        <v>2623</v>
      </c>
      <c r="L8" s="501">
        <v>185</v>
      </c>
      <c r="M8" s="501">
        <v>3</v>
      </c>
      <c r="N8" s="501">
        <v>-2</v>
      </c>
      <c r="O8" s="502">
        <v>1</v>
      </c>
      <c r="P8" s="503">
        <f t="shared" si="1"/>
        <v>2810</v>
      </c>
      <c r="Q8" s="504">
        <v>56.98</v>
      </c>
      <c r="R8" s="505"/>
      <c r="S8" s="501">
        <v>4574</v>
      </c>
      <c r="T8" s="501">
        <v>3</v>
      </c>
      <c r="U8" s="501"/>
      <c r="V8" s="501"/>
      <c r="W8" s="502"/>
      <c r="X8" s="503">
        <f t="shared" si="2"/>
        <v>4577</v>
      </c>
      <c r="Y8" s="504">
        <v>152.83</v>
      </c>
      <c r="Z8" s="506"/>
      <c r="AA8" s="501">
        <v>32113</v>
      </c>
      <c r="AB8" s="501"/>
      <c r="AC8" s="501"/>
      <c r="AD8" s="501"/>
      <c r="AE8" s="502"/>
      <c r="AF8" s="503">
        <f t="shared" si="3"/>
        <v>32113</v>
      </c>
      <c r="AG8" s="507">
        <v>342</v>
      </c>
      <c r="AH8" s="500"/>
      <c r="AI8" s="501">
        <v>2442</v>
      </c>
      <c r="AJ8" s="501"/>
      <c r="AK8" s="501"/>
      <c r="AL8" s="501"/>
      <c r="AM8" s="502"/>
      <c r="AN8" s="503">
        <f t="shared" si="4"/>
        <v>2442</v>
      </c>
      <c r="AO8" s="504">
        <v>43.75</v>
      </c>
      <c r="AP8" s="505">
        <v>8</v>
      </c>
      <c r="AQ8" s="501">
        <v>2342</v>
      </c>
      <c r="AR8" s="501">
        <v>31</v>
      </c>
      <c r="AS8" s="501"/>
      <c r="AT8" s="501"/>
      <c r="AU8" s="502"/>
      <c r="AV8" s="503">
        <f t="shared" si="5"/>
        <v>2381</v>
      </c>
      <c r="AW8" s="504">
        <v>138.3</v>
      </c>
      <c r="AX8" s="505">
        <v>3121</v>
      </c>
      <c r="AY8" s="501">
        <v>31515</v>
      </c>
      <c r="AZ8" s="501">
        <v>78</v>
      </c>
      <c r="BA8" s="501">
        <v>209</v>
      </c>
      <c r="BB8" s="501">
        <v>46</v>
      </c>
      <c r="BC8" s="502">
        <v>66</v>
      </c>
      <c r="BD8" s="503">
        <f t="shared" si="6"/>
        <v>35035</v>
      </c>
      <c r="BE8" s="633">
        <v>125.37</v>
      </c>
      <c r="BF8" s="534"/>
      <c r="BG8" s="498">
        <v>196</v>
      </c>
      <c r="BH8" s="498">
        <v>275</v>
      </c>
      <c r="BI8" s="498"/>
      <c r="BJ8" s="498"/>
      <c r="BK8" s="768"/>
      <c r="BL8" s="765">
        <f>SUM(BF8:BK8)</f>
        <v>471</v>
      </c>
      <c r="BM8" s="499">
        <v>6.28</v>
      </c>
      <c r="BN8" s="505"/>
      <c r="BO8" s="501">
        <v>32306</v>
      </c>
      <c r="BP8" s="501">
        <v>2153</v>
      </c>
      <c r="BQ8" s="501">
        <v>60</v>
      </c>
      <c r="BR8" s="501">
        <v>11</v>
      </c>
      <c r="BS8" s="502">
        <v>45</v>
      </c>
      <c r="BT8" s="503">
        <f t="shared" si="7"/>
        <v>34575</v>
      </c>
      <c r="BU8" s="633">
        <v>428.34</v>
      </c>
      <c r="BV8" s="505"/>
      <c r="BW8" s="501">
        <v>3638</v>
      </c>
      <c r="BX8" s="501"/>
      <c r="BY8" s="501"/>
      <c r="BZ8" s="501"/>
      <c r="CA8" s="502"/>
      <c r="CB8" s="503">
        <f t="shared" si="8"/>
        <v>3638</v>
      </c>
      <c r="CC8" s="633">
        <v>33.45</v>
      </c>
      <c r="CD8" s="505"/>
      <c r="CE8" s="501">
        <v>39049</v>
      </c>
      <c r="CF8" s="501">
        <v>79</v>
      </c>
      <c r="CG8" s="501">
        <v>11</v>
      </c>
      <c r="CH8" s="501">
        <v>9</v>
      </c>
      <c r="CI8" s="502">
        <v>15</v>
      </c>
      <c r="CJ8" s="511">
        <f t="shared" si="9"/>
        <v>39163</v>
      </c>
      <c r="CK8" s="504">
        <v>1284.94</v>
      </c>
      <c r="CL8" s="505"/>
      <c r="CM8" s="501">
        <v>84919</v>
      </c>
      <c r="CN8" s="501">
        <v>2342</v>
      </c>
      <c r="CO8" s="501">
        <v>231</v>
      </c>
      <c r="CP8" s="501">
        <v>158</v>
      </c>
      <c r="CQ8" s="502"/>
      <c r="CR8" s="503">
        <f t="shared" si="10"/>
        <v>87650</v>
      </c>
      <c r="CS8" s="504">
        <v>3085.9</v>
      </c>
      <c r="CT8" s="636"/>
      <c r="CU8" s="512">
        <v>2715</v>
      </c>
      <c r="CV8" s="512"/>
      <c r="CW8" s="512"/>
      <c r="CX8" s="512"/>
      <c r="CY8" s="512"/>
      <c r="CZ8" s="513">
        <f t="shared" si="11"/>
        <v>2715</v>
      </c>
      <c r="DA8" s="514">
        <v>42.9</v>
      </c>
      <c r="DB8" s="508"/>
      <c r="DC8" s="501">
        <v>3229</v>
      </c>
      <c r="DD8" s="501">
        <v>6047</v>
      </c>
      <c r="DE8" s="501">
        <v>587</v>
      </c>
      <c r="DF8" s="501">
        <v>968</v>
      </c>
      <c r="DG8" s="502">
        <v>4482</v>
      </c>
      <c r="DH8" s="503">
        <f t="shared" si="12"/>
        <v>15313</v>
      </c>
      <c r="DI8" s="507">
        <v>1.19</v>
      </c>
      <c r="DJ8" s="501">
        <v>61</v>
      </c>
      <c r="DK8" s="501">
        <v>10381</v>
      </c>
      <c r="DL8" s="501">
        <v>7</v>
      </c>
      <c r="DM8" s="501"/>
      <c r="DN8" s="501">
        <v>3</v>
      </c>
      <c r="DO8" s="502"/>
      <c r="DP8" s="503">
        <f t="shared" si="13"/>
        <v>10452</v>
      </c>
      <c r="DQ8" s="507">
        <v>271.29</v>
      </c>
      <c r="DR8" s="508"/>
      <c r="DS8" s="501">
        <v>115256</v>
      </c>
      <c r="DT8" s="501"/>
      <c r="DU8" s="501"/>
      <c r="DV8" s="501"/>
      <c r="DW8" s="502"/>
      <c r="DX8" s="503">
        <f t="shared" si="14"/>
        <v>115256</v>
      </c>
      <c r="DY8" s="507">
        <v>990.73</v>
      </c>
      <c r="DZ8" s="508"/>
      <c r="EA8" s="501">
        <v>15595</v>
      </c>
      <c r="EB8" s="501">
        <v>15</v>
      </c>
      <c r="EC8" s="501">
        <v>2</v>
      </c>
      <c r="ED8" s="501"/>
      <c r="EE8" s="502"/>
      <c r="EF8" s="503">
        <f t="shared" si="15"/>
        <v>15612</v>
      </c>
      <c r="EG8" s="507">
        <v>332.24</v>
      </c>
      <c r="EH8" s="508"/>
      <c r="EI8" s="501">
        <v>149061</v>
      </c>
      <c r="EJ8" s="501">
        <v>1023</v>
      </c>
      <c r="EK8" s="501">
        <v>83</v>
      </c>
      <c r="EL8" s="501">
        <v>118</v>
      </c>
      <c r="EM8" s="502">
        <v>19325</v>
      </c>
      <c r="EN8" s="503">
        <f t="shared" si="16"/>
        <v>169610</v>
      </c>
      <c r="EO8" s="507">
        <v>360.07</v>
      </c>
      <c r="EP8" s="515"/>
      <c r="EQ8" s="501"/>
      <c r="ER8" s="501"/>
      <c r="ES8" s="501"/>
      <c r="ET8" s="501"/>
      <c r="EU8" s="502"/>
      <c r="EV8" s="503">
        <f t="shared" si="17"/>
        <v>0</v>
      </c>
      <c r="EW8" s="507"/>
      <c r="EX8" s="505"/>
      <c r="EY8" s="517">
        <v>63217</v>
      </c>
      <c r="EZ8" s="517">
        <v>108</v>
      </c>
      <c r="FA8" s="517">
        <v>24</v>
      </c>
      <c r="FB8" s="517"/>
      <c r="FC8" s="518"/>
      <c r="FD8" s="519">
        <f t="shared" si="18"/>
        <v>63349</v>
      </c>
      <c r="FE8" s="520">
        <v>1193.16</v>
      </c>
      <c r="FF8" s="521"/>
      <c r="FG8" s="522"/>
      <c r="FH8" s="522"/>
      <c r="FI8" s="522">
        <v>86</v>
      </c>
      <c r="FJ8" s="522">
        <v>194</v>
      </c>
      <c r="FK8" s="523">
        <v>6652</v>
      </c>
      <c r="FL8" s="524">
        <f t="shared" si="19"/>
        <v>6932</v>
      </c>
      <c r="FM8" s="525">
        <v>42.95</v>
      </c>
      <c r="FN8" s="526">
        <v>9221</v>
      </c>
      <c r="FO8" s="527">
        <v>9535</v>
      </c>
      <c r="FP8" s="527">
        <v>121</v>
      </c>
      <c r="FQ8" s="527">
        <v>48</v>
      </c>
      <c r="FR8" s="527">
        <v>195</v>
      </c>
      <c r="FS8" s="528"/>
      <c r="FT8" s="529">
        <f t="shared" si="20"/>
        <v>19120</v>
      </c>
      <c r="FU8" s="530">
        <v>191.2</v>
      </c>
      <c r="FV8" s="508">
        <v>34</v>
      </c>
      <c r="FW8" s="501">
        <v>11145</v>
      </c>
      <c r="FX8" s="501">
        <v>4</v>
      </c>
      <c r="FY8" s="501"/>
      <c r="FZ8" s="501"/>
      <c r="GA8" s="502"/>
      <c r="GB8" s="503">
        <f t="shared" si="21"/>
        <v>11183</v>
      </c>
      <c r="GC8" s="507">
        <v>218.69</v>
      </c>
      <c r="GD8" s="637">
        <v>4119</v>
      </c>
      <c r="GE8" s="527">
        <v>5077236</v>
      </c>
      <c r="GF8" s="527">
        <v>156198</v>
      </c>
      <c r="GG8" s="527">
        <v>18454</v>
      </c>
      <c r="GH8" s="527">
        <v>446</v>
      </c>
      <c r="GI8" s="528"/>
      <c r="GJ8" s="529">
        <f t="shared" si="22"/>
        <v>5256453</v>
      </c>
      <c r="GK8" s="530">
        <v>69163.18</v>
      </c>
    </row>
    <row r="9" spans="1:193" ht="14.25">
      <c r="A9" s="520" t="s">
        <v>237</v>
      </c>
      <c r="B9" s="1385"/>
      <c r="C9" s="498">
        <v>10533</v>
      </c>
      <c r="D9" s="498">
        <v>611</v>
      </c>
      <c r="E9" s="498">
        <v>571</v>
      </c>
      <c r="F9" s="498">
        <v>337</v>
      </c>
      <c r="G9" s="768">
        <v>343</v>
      </c>
      <c r="H9" s="765">
        <f t="shared" si="0"/>
        <v>12395</v>
      </c>
      <c r="I9" s="499">
        <v>210.87</v>
      </c>
      <c r="J9" s="500"/>
      <c r="K9" s="501">
        <v>451</v>
      </c>
      <c r="L9" s="501"/>
      <c r="M9" s="501"/>
      <c r="N9" s="501"/>
      <c r="O9" s="502"/>
      <c r="P9" s="503">
        <f t="shared" si="1"/>
        <v>451</v>
      </c>
      <c r="Q9" s="504">
        <v>3.71</v>
      </c>
      <c r="R9" s="505"/>
      <c r="S9" s="501">
        <f>1+3+38+887+1747+2060</f>
        <v>4736</v>
      </c>
      <c r="T9" s="501">
        <v>2</v>
      </c>
      <c r="U9" s="501">
        <v>1</v>
      </c>
      <c r="V9" s="501">
        <v>1</v>
      </c>
      <c r="W9" s="502">
        <v>3</v>
      </c>
      <c r="X9" s="503">
        <f t="shared" si="2"/>
        <v>4743</v>
      </c>
      <c r="Y9" s="504">
        <f>18.26+39.4+18.28+0.05</f>
        <v>75.99</v>
      </c>
      <c r="Z9" s="506"/>
      <c r="AA9" s="501">
        <v>5970</v>
      </c>
      <c r="AB9" s="501">
        <v>141</v>
      </c>
      <c r="AC9" s="501">
        <v>16</v>
      </c>
      <c r="AD9" s="501"/>
      <c r="AE9" s="502"/>
      <c r="AF9" s="503">
        <f t="shared" si="3"/>
        <v>6127</v>
      </c>
      <c r="AG9" s="507">
        <v>7</v>
      </c>
      <c r="AH9" s="500"/>
      <c r="AI9" s="501"/>
      <c r="AJ9" s="501"/>
      <c r="AK9" s="501"/>
      <c r="AL9" s="501"/>
      <c r="AM9" s="502"/>
      <c r="AN9" s="503">
        <f t="shared" si="4"/>
        <v>0</v>
      </c>
      <c r="AO9" s="504"/>
      <c r="AP9" s="505">
        <v>9</v>
      </c>
      <c r="AQ9" s="501">
        <v>5756</v>
      </c>
      <c r="AR9" s="501">
        <v>1</v>
      </c>
      <c r="AS9" s="501"/>
      <c r="AT9" s="501"/>
      <c r="AU9" s="502"/>
      <c r="AV9" s="503">
        <f t="shared" si="5"/>
        <v>5766</v>
      </c>
      <c r="AW9" s="504">
        <v>124.77</v>
      </c>
      <c r="AX9" s="505"/>
      <c r="AY9" s="501"/>
      <c r="AZ9" s="501"/>
      <c r="BA9" s="501"/>
      <c r="BB9" s="501"/>
      <c r="BC9" s="502"/>
      <c r="BD9" s="503">
        <f t="shared" si="6"/>
        <v>0</v>
      </c>
      <c r="BE9" s="633"/>
      <c r="BF9" s="534">
        <v>3965</v>
      </c>
      <c r="BG9" s="498">
        <v>3</v>
      </c>
      <c r="BH9" s="498">
        <v>3</v>
      </c>
      <c r="BI9" s="498"/>
      <c r="BJ9" s="498"/>
      <c r="BK9" s="768"/>
      <c r="BL9" s="765">
        <f>SUM(BF9:BK9)</f>
        <v>3971</v>
      </c>
      <c r="BM9" s="499">
        <v>2.61</v>
      </c>
      <c r="BN9" s="505"/>
      <c r="BO9" s="501">
        <v>3106</v>
      </c>
      <c r="BP9" s="501"/>
      <c r="BQ9" s="501"/>
      <c r="BR9" s="501"/>
      <c r="BS9" s="502"/>
      <c r="BT9" s="503">
        <f t="shared" si="7"/>
        <v>3106</v>
      </c>
      <c r="BU9" s="633">
        <v>2.15</v>
      </c>
      <c r="BV9" s="505"/>
      <c r="BW9" s="501"/>
      <c r="BX9" s="501"/>
      <c r="BY9" s="501"/>
      <c r="BZ9" s="501"/>
      <c r="CA9" s="502"/>
      <c r="CB9" s="503">
        <f t="shared" si="8"/>
        <v>0</v>
      </c>
      <c r="CC9" s="633"/>
      <c r="CD9" s="505"/>
      <c r="CE9" s="501">
        <v>14193</v>
      </c>
      <c r="CF9" s="501">
        <v>3941</v>
      </c>
      <c r="CG9" s="501">
        <v>2718</v>
      </c>
      <c r="CH9" s="501">
        <v>7057</v>
      </c>
      <c r="CI9" s="502">
        <v>17049</v>
      </c>
      <c r="CJ9" s="511">
        <f t="shared" si="9"/>
        <v>44958</v>
      </c>
      <c r="CK9" s="504">
        <v>461.37</v>
      </c>
      <c r="CL9" s="505"/>
      <c r="CM9" s="501">
        <f>38+4863</f>
        <v>4901</v>
      </c>
      <c r="CN9" s="501">
        <v>150</v>
      </c>
      <c r="CO9" s="501">
        <v>11</v>
      </c>
      <c r="CP9" s="501">
        <v>2</v>
      </c>
      <c r="CQ9" s="502">
        <v>1</v>
      </c>
      <c r="CR9" s="503">
        <f t="shared" si="10"/>
        <v>5065</v>
      </c>
      <c r="CS9" s="504">
        <f>1.43+24.05</f>
        <v>25.48</v>
      </c>
      <c r="CT9" s="636"/>
      <c r="CU9" s="512">
        <v>1</v>
      </c>
      <c r="CV9" s="512"/>
      <c r="CW9" s="512"/>
      <c r="CX9" s="512"/>
      <c r="CY9" s="512"/>
      <c r="CZ9" s="513">
        <f t="shared" si="11"/>
        <v>1</v>
      </c>
      <c r="DA9" s="514">
        <v>0.01</v>
      </c>
      <c r="DB9" s="508"/>
      <c r="DC9" s="501">
        <v>123</v>
      </c>
      <c r="DD9" s="501"/>
      <c r="DE9" s="501"/>
      <c r="DF9" s="501"/>
      <c r="DG9" s="502"/>
      <c r="DH9" s="503">
        <f t="shared" si="12"/>
        <v>123</v>
      </c>
      <c r="DI9" s="507">
        <v>0.41</v>
      </c>
      <c r="DJ9" s="501">
        <v>-7</v>
      </c>
      <c r="DK9" s="501">
        <v>495</v>
      </c>
      <c r="DL9" s="501">
        <v>4</v>
      </c>
      <c r="DM9" s="501">
        <v>2</v>
      </c>
      <c r="DN9" s="501">
        <v>8</v>
      </c>
      <c r="DO9" s="502"/>
      <c r="DP9" s="503">
        <f t="shared" si="13"/>
        <v>502</v>
      </c>
      <c r="DQ9" s="507">
        <v>14.59</v>
      </c>
      <c r="DR9" s="508"/>
      <c r="DS9" s="501"/>
      <c r="DT9" s="501"/>
      <c r="DU9" s="501"/>
      <c r="DV9" s="501"/>
      <c r="DW9" s="502"/>
      <c r="DX9" s="503">
        <f t="shared" si="14"/>
        <v>0</v>
      </c>
      <c r="DY9" s="507"/>
      <c r="DZ9" s="508"/>
      <c r="EA9" s="501">
        <v>42</v>
      </c>
      <c r="EB9" s="501"/>
      <c r="EC9" s="501"/>
      <c r="ED9" s="501"/>
      <c r="EE9" s="502"/>
      <c r="EF9" s="503">
        <f t="shared" si="15"/>
        <v>42</v>
      </c>
      <c r="EG9" s="507">
        <v>2.71</v>
      </c>
      <c r="EH9" s="508"/>
      <c r="EI9" s="501">
        <v>110</v>
      </c>
      <c r="EJ9" s="501"/>
      <c r="EK9" s="501"/>
      <c r="EL9" s="501"/>
      <c r="EM9" s="502"/>
      <c r="EN9" s="503">
        <f t="shared" si="16"/>
        <v>110</v>
      </c>
      <c r="EO9" s="507">
        <v>0.48</v>
      </c>
      <c r="EP9" s="515"/>
      <c r="EQ9" s="501"/>
      <c r="ER9" s="501"/>
      <c r="ES9" s="501"/>
      <c r="ET9" s="501"/>
      <c r="EU9" s="502"/>
      <c r="EV9" s="503">
        <f t="shared" si="17"/>
        <v>0</v>
      </c>
      <c r="EW9" s="507"/>
      <c r="EX9" s="535"/>
      <c r="EY9" s="517">
        <v>19217</v>
      </c>
      <c r="EZ9" s="517">
        <v>11737</v>
      </c>
      <c r="FA9" s="517">
        <v>6846</v>
      </c>
      <c r="FB9" s="517">
        <v>4239</v>
      </c>
      <c r="FC9" s="518">
        <v>7186</v>
      </c>
      <c r="FD9" s="519">
        <f t="shared" si="18"/>
        <v>49225</v>
      </c>
      <c r="FE9" s="520">
        <v>421.87</v>
      </c>
      <c r="FF9" s="521"/>
      <c r="FG9" s="522"/>
      <c r="FH9" s="522"/>
      <c r="FI9" s="522"/>
      <c r="FJ9" s="522"/>
      <c r="FK9" s="523"/>
      <c r="FL9" s="524">
        <f t="shared" si="19"/>
        <v>0</v>
      </c>
      <c r="FM9" s="525"/>
      <c r="FN9" s="526"/>
      <c r="FO9" s="527">
        <v>1788</v>
      </c>
      <c r="FP9" s="527">
        <v>9</v>
      </c>
      <c r="FQ9" s="527">
        <v>2</v>
      </c>
      <c r="FR9" s="527">
        <v>0</v>
      </c>
      <c r="FS9" s="528"/>
      <c r="FT9" s="529">
        <f t="shared" si="20"/>
        <v>1799</v>
      </c>
      <c r="FU9" s="530">
        <v>17.99</v>
      </c>
      <c r="FV9" s="508">
        <v>33546</v>
      </c>
      <c r="FW9" s="501">
        <v>23681</v>
      </c>
      <c r="FX9" s="501">
        <v>4</v>
      </c>
      <c r="FY9" s="501"/>
      <c r="FZ9" s="501"/>
      <c r="GA9" s="502"/>
      <c r="GB9" s="503">
        <f t="shared" si="21"/>
        <v>57231</v>
      </c>
      <c r="GC9" s="507">
        <v>60.58</v>
      </c>
      <c r="GD9" s="637">
        <v>27798</v>
      </c>
      <c r="GE9" s="527">
        <v>54</v>
      </c>
      <c r="GF9" s="527"/>
      <c r="GG9" s="527"/>
      <c r="GH9" s="527"/>
      <c r="GI9" s="528"/>
      <c r="GJ9" s="529">
        <f t="shared" si="22"/>
        <v>27852</v>
      </c>
      <c r="GK9" s="530">
        <v>5026</v>
      </c>
    </row>
    <row r="10" spans="1:193" ht="14.25">
      <c r="A10" s="1387"/>
      <c r="B10" s="1385"/>
      <c r="C10" s="536"/>
      <c r="D10" s="536"/>
      <c r="E10" s="536"/>
      <c r="F10" s="536"/>
      <c r="G10" s="769"/>
      <c r="H10" s="765"/>
      <c r="I10" s="537"/>
      <c r="J10" s="533"/>
      <c r="K10" s="538"/>
      <c r="L10" s="538"/>
      <c r="M10" s="538"/>
      <c r="N10" s="538"/>
      <c r="O10" s="539"/>
      <c r="P10" s="540">
        <f t="shared" si="1"/>
        <v>0</v>
      </c>
      <c r="Q10" s="541"/>
      <c r="R10" s="542"/>
      <c r="S10" s="538"/>
      <c r="T10" s="538"/>
      <c r="U10" s="538"/>
      <c r="V10" s="538"/>
      <c r="W10" s="539"/>
      <c r="X10" s="540">
        <f t="shared" si="2"/>
        <v>0</v>
      </c>
      <c r="Y10" s="541"/>
      <c r="Z10" s="531"/>
      <c r="AA10" s="538"/>
      <c r="AB10" s="538"/>
      <c r="AC10" s="538"/>
      <c r="AD10" s="538"/>
      <c r="AE10" s="539"/>
      <c r="AF10" s="540">
        <f t="shared" si="3"/>
        <v>0</v>
      </c>
      <c r="AG10" s="532"/>
      <c r="AH10" s="533"/>
      <c r="AI10" s="538"/>
      <c r="AJ10" s="538"/>
      <c r="AK10" s="538"/>
      <c r="AL10" s="538"/>
      <c r="AM10" s="539"/>
      <c r="AN10" s="540">
        <f t="shared" si="4"/>
        <v>0</v>
      </c>
      <c r="AO10" s="541"/>
      <c r="AP10" s="542"/>
      <c r="AQ10" s="538"/>
      <c r="AR10" s="538"/>
      <c r="AS10" s="538"/>
      <c r="AT10" s="538"/>
      <c r="AU10" s="539"/>
      <c r="AV10" s="540">
        <f t="shared" si="5"/>
        <v>0</v>
      </c>
      <c r="AW10" s="541"/>
      <c r="AX10" s="542"/>
      <c r="AY10" s="538"/>
      <c r="AZ10" s="538"/>
      <c r="BA10" s="538"/>
      <c r="BB10" s="538"/>
      <c r="BC10" s="539"/>
      <c r="BD10" s="540">
        <f t="shared" si="6"/>
        <v>0</v>
      </c>
      <c r="BE10" s="634"/>
      <c r="BF10" s="534"/>
      <c r="BG10" s="536"/>
      <c r="BH10" s="536"/>
      <c r="BI10" s="536"/>
      <c r="BJ10" s="536"/>
      <c r="BK10" s="769"/>
      <c r="BL10" s="765"/>
      <c r="BM10" s="537"/>
      <c r="BN10" s="542"/>
      <c r="BO10" s="538"/>
      <c r="BP10" s="538"/>
      <c r="BQ10" s="538"/>
      <c r="BR10" s="538"/>
      <c r="BS10" s="539"/>
      <c r="BT10" s="540">
        <f t="shared" si="7"/>
        <v>0</v>
      </c>
      <c r="BU10" s="634"/>
      <c r="BV10" s="542"/>
      <c r="BW10" s="538"/>
      <c r="BX10" s="538"/>
      <c r="BY10" s="538"/>
      <c r="BZ10" s="538"/>
      <c r="CA10" s="539"/>
      <c r="CB10" s="540">
        <f t="shared" si="8"/>
        <v>0</v>
      </c>
      <c r="CC10" s="634"/>
      <c r="CD10" s="542"/>
      <c r="CE10" s="538"/>
      <c r="CF10" s="538"/>
      <c r="CG10" s="538"/>
      <c r="CH10" s="538"/>
      <c r="CI10" s="539"/>
      <c r="CJ10" s="511">
        <f t="shared" si="9"/>
        <v>0</v>
      </c>
      <c r="CK10" s="541"/>
      <c r="CL10" s="542"/>
      <c r="CM10" s="538"/>
      <c r="CN10" s="538"/>
      <c r="CO10" s="538"/>
      <c r="CP10" s="538"/>
      <c r="CQ10" s="539"/>
      <c r="CR10" s="540">
        <f t="shared" si="10"/>
        <v>0</v>
      </c>
      <c r="CS10" s="541"/>
      <c r="CT10" s="636"/>
      <c r="CU10" s="512"/>
      <c r="CV10" s="512"/>
      <c r="CW10" s="512"/>
      <c r="CX10" s="512"/>
      <c r="CY10" s="512"/>
      <c r="CZ10" s="513">
        <f t="shared" si="11"/>
        <v>0</v>
      </c>
      <c r="DA10" s="514"/>
      <c r="DB10" s="543"/>
      <c r="DC10" s="538"/>
      <c r="DD10" s="538"/>
      <c r="DE10" s="538"/>
      <c r="DF10" s="538"/>
      <c r="DG10" s="539"/>
      <c r="DH10" s="540">
        <f t="shared" si="12"/>
        <v>0</v>
      </c>
      <c r="DI10" s="532"/>
      <c r="DJ10" s="544"/>
      <c r="DK10" s="545"/>
      <c r="DL10" s="545"/>
      <c r="DM10" s="545"/>
      <c r="DN10" s="545"/>
      <c r="DO10" s="546"/>
      <c r="DP10" s="547">
        <f t="shared" si="13"/>
        <v>0</v>
      </c>
      <c r="DQ10" s="548"/>
      <c r="DR10" s="543"/>
      <c r="DS10" s="538"/>
      <c r="DT10" s="538"/>
      <c r="DU10" s="538"/>
      <c r="DV10" s="538"/>
      <c r="DW10" s="539"/>
      <c r="DX10" s="540"/>
      <c r="DY10" s="532"/>
      <c r="DZ10" s="543"/>
      <c r="EA10" s="538"/>
      <c r="EB10" s="538"/>
      <c r="EC10" s="538"/>
      <c r="ED10" s="538"/>
      <c r="EE10" s="539"/>
      <c r="EF10" s="540"/>
      <c r="EG10" s="532"/>
      <c r="EH10" s="543"/>
      <c r="EI10" s="538"/>
      <c r="EJ10" s="538"/>
      <c r="EK10" s="538"/>
      <c r="EL10" s="538"/>
      <c r="EM10" s="539"/>
      <c r="EN10" s="540"/>
      <c r="EO10" s="532"/>
      <c r="EP10" s="515"/>
      <c r="EQ10" s="501"/>
      <c r="ER10" s="501"/>
      <c r="ES10" s="501"/>
      <c r="ET10" s="501"/>
      <c r="EU10" s="502"/>
      <c r="EV10" s="503"/>
      <c r="EW10" s="507"/>
      <c r="EX10" s="505"/>
      <c r="EY10" s="501"/>
      <c r="EZ10" s="501"/>
      <c r="FA10" s="501"/>
      <c r="FB10" s="501"/>
      <c r="FC10" s="502"/>
      <c r="FD10" s="519">
        <f t="shared" si="18"/>
        <v>0</v>
      </c>
      <c r="FE10" s="520"/>
      <c r="FF10" s="521"/>
      <c r="FG10" s="522"/>
      <c r="FH10" s="522"/>
      <c r="FI10" s="522"/>
      <c r="FJ10" s="522"/>
      <c r="FK10" s="523"/>
      <c r="FL10" s="524"/>
      <c r="FM10" s="525"/>
      <c r="FN10" s="526"/>
      <c r="FO10" s="527"/>
      <c r="FP10" s="527"/>
      <c r="FQ10" s="527"/>
      <c r="FR10" s="527"/>
      <c r="FS10" s="528"/>
      <c r="FT10" s="529"/>
      <c r="FU10" s="530"/>
      <c r="FV10" s="543"/>
      <c r="FW10" s="538"/>
      <c r="FX10" s="538"/>
      <c r="FY10" s="538"/>
      <c r="FZ10" s="538"/>
      <c r="GA10" s="539"/>
      <c r="GB10" s="540"/>
      <c r="GC10" s="532"/>
      <c r="GD10" s="542"/>
      <c r="GE10" s="538"/>
      <c r="GF10" s="538"/>
      <c r="GG10" s="538"/>
      <c r="GH10" s="538"/>
      <c r="GI10" s="539"/>
      <c r="GJ10" s="540"/>
      <c r="GK10" s="532"/>
    </row>
    <row r="11" spans="1:193" ht="14.25">
      <c r="A11" s="520" t="s">
        <v>238</v>
      </c>
      <c r="B11" s="1385"/>
      <c r="C11" s="498">
        <v>2908</v>
      </c>
      <c r="D11" s="767"/>
      <c r="E11" s="498"/>
      <c r="F11" s="498"/>
      <c r="G11" s="768"/>
      <c r="H11" s="765">
        <f t="shared" si="0"/>
        <v>2908</v>
      </c>
      <c r="I11" s="499">
        <v>72.11</v>
      </c>
      <c r="J11" s="500"/>
      <c r="K11" s="501">
        <v>34</v>
      </c>
      <c r="L11" s="501"/>
      <c r="M11" s="501"/>
      <c r="N11" s="501"/>
      <c r="O11" s="502"/>
      <c r="P11" s="503">
        <f t="shared" si="1"/>
        <v>34</v>
      </c>
      <c r="Q11" s="504">
        <v>2.73</v>
      </c>
      <c r="R11" s="505"/>
      <c r="S11" s="501">
        <v>203</v>
      </c>
      <c r="T11" s="501">
        <v>57</v>
      </c>
      <c r="U11" s="501">
        <v>18</v>
      </c>
      <c r="V11" s="501"/>
      <c r="W11" s="502"/>
      <c r="X11" s="503">
        <f t="shared" si="2"/>
        <v>278</v>
      </c>
      <c r="Y11" s="504">
        <v>5.77</v>
      </c>
      <c r="Z11" s="506"/>
      <c r="AA11" s="501">
        <v>50299</v>
      </c>
      <c r="AB11" s="501">
        <v>3353</v>
      </c>
      <c r="AC11" s="501">
        <v>1774</v>
      </c>
      <c r="AD11" s="501">
        <v>506</v>
      </c>
      <c r="AE11" s="502">
        <v>14</v>
      </c>
      <c r="AF11" s="503">
        <f t="shared" si="3"/>
        <v>55946</v>
      </c>
      <c r="AG11" s="507">
        <v>241</v>
      </c>
      <c r="AH11" s="500"/>
      <c r="AI11" s="501">
        <v>107</v>
      </c>
      <c r="AJ11" s="501"/>
      <c r="AK11" s="501"/>
      <c r="AL11" s="501"/>
      <c r="AM11" s="502"/>
      <c r="AN11" s="503">
        <f t="shared" si="4"/>
        <v>107</v>
      </c>
      <c r="AO11" s="504">
        <v>15.21</v>
      </c>
      <c r="AP11" s="505"/>
      <c r="AQ11" s="501">
        <v>759</v>
      </c>
      <c r="AR11" s="501"/>
      <c r="AS11" s="501"/>
      <c r="AT11" s="501"/>
      <c r="AU11" s="502"/>
      <c r="AV11" s="503">
        <f t="shared" si="5"/>
        <v>759</v>
      </c>
      <c r="AW11" s="504">
        <v>19.97</v>
      </c>
      <c r="AX11" s="505"/>
      <c r="AY11" s="501">
        <v>67601</v>
      </c>
      <c r="AZ11" s="501">
        <v>10614</v>
      </c>
      <c r="BA11" s="501">
        <v>40</v>
      </c>
      <c r="BB11" s="501"/>
      <c r="BC11" s="502"/>
      <c r="BD11" s="503">
        <f t="shared" si="6"/>
        <v>78255</v>
      </c>
      <c r="BE11" s="633">
        <v>304.91</v>
      </c>
      <c r="BF11" s="534"/>
      <c r="BG11" s="498">
        <v>119</v>
      </c>
      <c r="BH11" s="767">
        <v>5</v>
      </c>
      <c r="BI11" s="498"/>
      <c r="BJ11" s="498"/>
      <c r="BK11" s="768"/>
      <c r="BL11" s="765">
        <f>SUM(BF11:BK11)</f>
        <v>124</v>
      </c>
      <c r="BM11" s="499">
        <v>8.83</v>
      </c>
      <c r="BN11" s="505"/>
      <c r="BO11" s="501">
        <v>4173</v>
      </c>
      <c r="BP11" s="501"/>
      <c r="BQ11" s="501"/>
      <c r="BR11" s="501"/>
      <c r="BS11" s="502"/>
      <c r="BT11" s="503">
        <f t="shared" si="7"/>
        <v>4173</v>
      </c>
      <c r="BU11" s="633">
        <v>127.44</v>
      </c>
      <c r="BV11" s="505"/>
      <c r="BW11" s="501">
        <v>272</v>
      </c>
      <c r="BX11" s="501">
        <v>18</v>
      </c>
      <c r="BY11" s="501">
        <v>11</v>
      </c>
      <c r="BZ11" s="501">
        <v>3</v>
      </c>
      <c r="CA11" s="502">
        <v>7</v>
      </c>
      <c r="CB11" s="503">
        <f t="shared" si="8"/>
        <v>311</v>
      </c>
      <c r="CC11" s="633">
        <v>21.87</v>
      </c>
      <c r="CD11" s="505"/>
      <c r="CE11" s="501">
        <v>62913</v>
      </c>
      <c r="CF11" s="501">
        <v>245</v>
      </c>
      <c r="CG11" s="501">
        <v>98</v>
      </c>
      <c r="CH11" s="501">
        <v>12</v>
      </c>
      <c r="CI11" s="502"/>
      <c r="CJ11" s="511">
        <f t="shared" si="9"/>
        <v>63268</v>
      </c>
      <c r="CK11" s="504">
        <v>359.74</v>
      </c>
      <c r="CL11" s="505"/>
      <c r="CM11" s="501">
        <v>10894</v>
      </c>
      <c r="CN11" s="501">
        <v>68</v>
      </c>
      <c r="CO11" s="501">
        <v>2</v>
      </c>
      <c r="CP11" s="501">
        <v>2</v>
      </c>
      <c r="CQ11" s="502">
        <v>3</v>
      </c>
      <c r="CR11" s="503">
        <f t="shared" si="10"/>
        <v>10969</v>
      </c>
      <c r="CS11" s="504">
        <v>90.98</v>
      </c>
      <c r="CT11" s="508"/>
      <c r="CU11" s="501">
        <v>269</v>
      </c>
      <c r="CV11" s="501">
        <v>2</v>
      </c>
      <c r="CW11" s="501">
        <v>1</v>
      </c>
      <c r="CX11" s="501"/>
      <c r="CY11" s="501"/>
      <c r="CZ11" s="549">
        <f t="shared" si="11"/>
        <v>272</v>
      </c>
      <c r="DA11" s="507">
        <v>12</v>
      </c>
      <c r="DB11" s="508"/>
      <c r="DC11" s="501">
        <v>2547</v>
      </c>
      <c r="DD11" s="501">
        <v>81</v>
      </c>
      <c r="DE11" s="501">
        <v>11</v>
      </c>
      <c r="DF11" s="501"/>
      <c r="DG11" s="502">
        <v>3</v>
      </c>
      <c r="DH11" s="503">
        <f t="shared" si="12"/>
        <v>2642</v>
      </c>
      <c r="DI11" s="507">
        <v>73.68</v>
      </c>
      <c r="DJ11" s="508"/>
      <c r="DK11" s="501">
        <v>14272</v>
      </c>
      <c r="DL11" s="501">
        <v>420</v>
      </c>
      <c r="DM11" s="501">
        <v>67</v>
      </c>
      <c r="DN11" s="501">
        <v>6</v>
      </c>
      <c r="DO11" s="502">
        <v>0</v>
      </c>
      <c r="DP11" s="503">
        <f t="shared" si="13"/>
        <v>14765</v>
      </c>
      <c r="DQ11" s="507">
        <v>162.52</v>
      </c>
      <c r="DR11" s="508"/>
      <c r="DS11" s="501">
        <v>3179</v>
      </c>
      <c r="DT11" s="501">
        <v>1</v>
      </c>
      <c r="DU11" s="501"/>
      <c r="DV11" s="501"/>
      <c r="DW11" s="502"/>
      <c r="DX11" s="503">
        <f t="shared" si="14"/>
        <v>3180</v>
      </c>
      <c r="DY11" s="507">
        <v>60.92</v>
      </c>
      <c r="DZ11" s="508"/>
      <c r="EA11" s="501">
        <v>509</v>
      </c>
      <c r="EB11" s="501"/>
      <c r="EC11" s="501"/>
      <c r="ED11" s="501"/>
      <c r="EE11" s="502"/>
      <c r="EF11" s="503">
        <f t="shared" si="15"/>
        <v>509</v>
      </c>
      <c r="EG11" s="507">
        <v>36.45</v>
      </c>
      <c r="EH11" s="508"/>
      <c r="EI11" s="501">
        <v>1932</v>
      </c>
      <c r="EJ11" s="501">
        <v>91</v>
      </c>
      <c r="EK11" s="501">
        <v>54</v>
      </c>
      <c r="EL11" s="501">
        <v>63</v>
      </c>
      <c r="EM11" s="502"/>
      <c r="EN11" s="503">
        <f t="shared" si="16"/>
        <v>2140</v>
      </c>
      <c r="EO11" s="507">
        <v>11.74</v>
      </c>
      <c r="EP11" s="515"/>
      <c r="EQ11" s="501"/>
      <c r="ER11" s="501"/>
      <c r="ES11" s="501"/>
      <c r="ET11" s="501"/>
      <c r="EU11" s="502"/>
      <c r="EV11" s="503">
        <f t="shared" si="17"/>
        <v>0</v>
      </c>
      <c r="EW11" s="507"/>
      <c r="EX11" s="516"/>
      <c r="EY11" s="517">
        <v>8142</v>
      </c>
      <c r="EZ11" s="517">
        <v>3</v>
      </c>
      <c r="FA11" s="517">
        <v>5</v>
      </c>
      <c r="FB11" s="517"/>
      <c r="FC11" s="518"/>
      <c r="FD11" s="519">
        <f t="shared" si="18"/>
        <v>8150</v>
      </c>
      <c r="FE11" s="520">
        <v>229.06</v>
      </c>
      <c r="FF11" s="521"/>
      <c r="FG11" s="522">
        <v>9485</v>
      </c>
      <c r="FH11" s="522"/>
      <c r="FI11" s="522"/>
      <c r="FJ11" s="522"/>
      <c r="FK11" s="523"/>
      <c r="FL11" s="524">
        <f t="shared" si="19"/>
        <v>9485</v>
      </c>
      <c r="FM11" s="525">
        <v>57.73</v>
      </c>
      <c r="FN11" s="526"/>
      <c r="FO11" s="527">
        <v>1353</v>
      </c>
      <c r="FP11" s="527">
        <v>78</v>
      </c>
      <c r="FQ11" s="527">
        <v>4</v>
      </c>
      <c r="FR11" s="527">
        <v>2</v>
      </c>
      <c r="FS11" s="528"/>
      <c r="FT11" s="529">
        <f t="shared" si="20"/>
        <v>1437</v>
      </c>
      <c r="FU11" s="530">
        <v>14.35</v>
      </c>
      <c r="FV11" s="508"/>
      <c r="FW11" s="501">
        <v>155</v>
      </c>
      <c r="FX11" s="501"/>
      <c r="FY11" s="501"/>
      <c r="FZ11" s="501"/>
      <c r="GA11" s="502"/>
      <c r="GB11" s="503">
        <f t="shared" si="21"/>
        <v>155</v>
      </c>
      <c r="GC11" s="507">
        <v>32.91</v>
      </c>
      <c r="GD11" s="637"/>
      <c r="GE11" s="527"/>
      <c r="GF11" s="527"/>
      <c r="GG11" s="527"/>
      <c r="GH11" s="527"/>
      <c r="GI11" s="528"/>
      <c r="GJ11" s="529">
        <f t="shared" si="22"/>
        <v>0</v>
      </c>
      <c r="GK11" s="530"/>
    </row>
    <row r="12" spans="1:193" ht="15" thickBot="1">
      <c r="A12" s="569" t="s">
        <v>239</v>
      </c>
      <c r="B12" s="1386"/>
      <c r="C12" s="551">
        <v>1459</v>
      </c>
      <c r="D12" s="551"/>
      <c r="E12" s="551"/>
      <c r="F12" s="551"/>
      <c r="G12" s="770"/>
      <c r="H12" s="766">
        <f t="shared" si="0"/>
        <v>1459</v>
      </c>
      <c r="I12" s="552">
        <v>101.28</v>
      </c>
      <c r="J12" s="553"/>
      <c r="K12" s="554">
        <v>180</v>
      </c>
      <c r="L12" s="554"/>
      <c r="M12" s="554"/>
      <c r="N12" s="554"/>
      <c r="O12" s="555"/>
      <c r="P12" s="556">
        <f t="shared" si="1"/>
        <v>180</v>
      </c>
      <c r="Q12" s="557">
        <v>27.99</v>
      </c>
      <c r="R12" s="558"/>
      <c r="S12" s="554">
        <v>274</v>
      </c>
      <c r="T12" s="554">
        <v>1</v>
      </c>
      <c r="U12" s="554"/>
      <c r="V12" s="554"/>
      <c r="W12" s="555"/>
      <c r="X12" s="556">
        <f t="shared" si="2"/>
        <v>275</v>
      </c>
      <c r="Y12" s="557">
        <v>32.03</v>
      </c>
      <c r="Z12" s="559"/>
      <c r="AA12" s="554">
        <v>3143</v>
      </c>
      <c r="AB12" s="554">
        <v>229</v>
      </c>
      <c r="AC12" s="554">
        <v>23</v>
      </c>
      <c r="AD12" s="554"/>
      <c r="AE12" s="555"/>
      <c r="AF12" s="556">
        <f t="shared" si="3"/>
        <v>3395</v>
      </c>
      <c r="AG12" s="560">
        <v>105</v>
      </c>
      <c r="AH12" s="553"/>
      <c r="AI12" s="554">
        <v>292</v>
      </c>
      <c r="AJ12" s="554"/>
      <c r="AK12" s="554"/>
      <c r="AL12" s="554"/>
      <c r="AM12" s="555"/>
      <c r="AN12" s="556">
        <f t="shared" si="4"/>
        <v>292</v>
      </c>
      <c r="AO12" s="557">
        <v>13.14</v>
      </c>
      <c r="AP12" s="558"/>
      <c r="AQ12" s="554">
        <v>351</v>
      </c>
      <c r="AR12" s="554">
        <v>1</v>
      </c>
      <c r="AS12" s="554"/>
      <c r="AT12" s="554"/>
      <c r="AU12" s="555"/>
      <c r="AV12" s="556">
        <f t="shared" si="5"/>
        <v>352</v>
      </c>
      <c r="AW12" s="557">
        <v>33.28</v>
      </c>
      <c r="AX12" s="558"/>
      <c r="AY12" s="554">
        <v>528</v>
      </c>
      <c r="AZ12" s="554">
        <v>99</v>
      </c>
      <c r="BA12" s="554">
        <v>8</v>
      </c>
      <c r="BB12" s="554"/>
      <c r="BC12" s="555"/>
      <c r="BD12" s="556">
        <f t="shared" si="6"/>
        <v>635</v>
      </c>
      <c r="BE12" s="635">
        <v>26.16</v>
      </c>
      <c r="BF12" s="550"/>
      <c r="BG12" s="551">
        <v>66</v>
      </c>
      <c r="BH12" s="551">
        <v>7</v>
      </c>
      <c r="BI12" s="551">
        <v>1</v>
      </c>
      <c r="BJ12" s="551"/>
      <c r="BK12" s="770"/>
      <c r="BL12" s="766">
        <f>SUM(BF12:BK12)</f>
        <v>74</v>
      </c>
      <c r="BM12" s="552">
        <v>3.29</v>
      </c>
      <c r="BN12" s="558"/>
      <c r="BO12" s="554">
        <v>2816</v>
      </c>
      <c r="BP12" s="554">
        <v>384</v>
      </c>
      <c r="BQ12" s="554">
        <v>36</v>
      </c>
      <c r="BR12" s="554"/>
      <c r="BS12" s="555"/>
      <c r="BT12" s="556">
        <f t="shared" si="7"/>
        <v>3236</v>
      </c>
      <c r="BU12" s="635">
        <v>76.07</v>
      </c>
      <c r="BV12" s="558"/>
      <c r="BW12" s="554">
        <v>343</v>
      </c>
      <c r="BX12" s="554">
        <v>39</v>
      </c>
      <c r="BY12" s="554">
        <v>6</v>
      </c>
      <c r="BZ12" s="554"/>
      <c r="CA12" s="555"/>
      <c r="CB12" s="556">
        <f t="shared" si="8"/>
        <v>388</v>
      </c>
      <c r="CC12" s="635">
        <v>16.33</v>
      </c>
      <c r="CD12" s="558"/>
      <c r="CE12" s="554">
        <v>3692</v>
      </c>
      <c r="CF12" s="554">
        <v>295</v>
      </c>
      <c r="CG12" s="554">
        <v>32</v>
      </c>
      <c r="CH12" s="554">
        <v>2</v>
      </c>
      <c r="CI12" s="555"/>
      <c r="CJ12" s="562">
        <f t="shared" si="9"/>
        <v>4021</v>
      </c>
      <c r="CK12" s="557">
        <v>247.63</v>
      </c>
      <c r="CL12" s="558"/>
      <c r="CM12" s="554">
        <v>3490</v>
      </c>
      <c r="CN12" s="554">
        <v>42</v>
      </c>
      <c r="CO12" s="554">
        <v>10</v>
      </c>
      <c r="CP12" s="554">
        <v>4</v>
      </c>
      <c r="CQ12" s="555">
        <v>4</v>
      </c>
      <c r="CR12" s="556">
        <f t="shared" si="10"/>
        <v>3550</v>
      </c>
      <c r="CS12" s="557">
        <v>250.51</v>
      </c>
      <c r="CT12" s="561"/>
      <c r="CU12" s="554">
        <v>396</v>
      </c>
      <c r="CV12" s="554">
        <v>10</v>
      </c>
      <c r="CW12" s="554"/>
      <c r="CX12" s="554"/>
      <c r="CY12" s="554"/>
      <c r="CZ12" s="563">
        <f t="shared" si="11"/>
        <v>406</v>
      </c>
      <c r="DA12" s="560">
        <v>19.97</v>
      </c>
      <c r="DB12" s="561"/>
      <c r="DC12" s="554">
        <v>687</v>
      </c>
      <c r="DD12" s="554">
        <v>41</v>
      </c>
      <c r="DE12" s="554">
        <v>3</v>
      </c>
      <c r="DF12" s="554"/>
      <c r="DG12" s="555"/>
      <c r="DH12" s="556">
        <f t="shared" si="12"/>
        <v>731</v>
      </c>
      <c r="DI12" s="560">
        <v>30.09</v>
      </c>
      <c r="DJ12" s="561"/>
      <c r="DK12" s="554">
        <v>735</v>
      </c>
      <c r="DL12" s="554">
        <v>47</v>
      </c>
      <c r="DM12" s="554">
        <v>4</v>
      </c>
      <c r="DN12" s="554">
        <v>1</v>
      </c>
      <c r="DO12" s="555">
        <v>1</v>
      </c>
      <c r="DP12" s="556">
        <f t="shared" si="13"/>
        <v>788</v>
      </c>
      <c r="DQ12" s="560">
        <v>39.98</v>
      </c>
      <c r="DR12" s="561"/>
      <c r="DS12" s="554">
        <v>7611</v>
      </c>
      <c r="DT12" s="554">
        <v>45</v>
      </c>
      <c r="DU12" s="554">
        <v>10</v>
      </c>
      <c r="DV12" s="554">
        <v>2</v>
      </c>
      <c r="DW12" s="555">
        <v>1</v>
      </c>
      <c r="DX12" s="556">
        <f t="shared" si="14"/>
        <v>7669</v>
      </c>
      <c r="DY12" s="560">
        <v>173.3</v>
      </c>
      <c r="DZ12" s="561"/>
      <c r="EA12" s="554">
        <v>1153</v>
      </c>
      <c r="EB12" s="554">
        <v>1</v>
      </c>
      <c r="EC12" s="554"/>
      <c r="ED12" s="554"/>
      <c r="EE12" s="555"/>
      <c r="EF12" s="556">
        <f t="shared" si="15"/>
        <v>1154</v>
      </c>
      <c r="EG12" s="560">
        <v>67.05</v>
      </c>
      <c r="EH12" s="561"/>
      <c r="EI12" s="554">
        <v>2051</v>
      </c>
      <c r="EJ12" s="554">
        <v>157</v>
      </c>
      <c r="EK12" s="554">
        <v>14</v>
      </c>
      <c r="EL12" s="554">
        <v>3</v>
      </c>
      <c r="EM12" s="555"/>
      <c r="EN12" s="556">
        <f t="shared" si="16"/>
        <v>2225</v>
      </c>
      <c r="EO12" s="560">
        <v>44.78</v>
      </c>
      <c r="EP12" s="564"/>
      <c r="EQ12" s="554"/>
      <c r="ER12" s="554"/>
      <c r="ES12" s="554"/>
      <c r="ET12" s="554"/>
      <c r="EU12" s="555"/>
      <c r="EV12" s="556">
        <f t="shared" si="17"/>
        <v>0</v>
      </c>
      <c r="EW12" s="560"/>
      <c r="EX12" s="565"/>
      <c r="EY12" s="566">
        <v>5115</v>
      </c>
      <c r="EZ12" s="566">
        <v>36</v>
      </c>
      <c r="FA12" s="566">
        <v>5</v>
      </c>
      <c r="FB12" s="566">
        <v>5</v>
      </c>
      <c r="FC12" s="567"/>
      <c r="FD12" s="568">
        <f t="shared" si="18"/>
        <v>5161</v>
      </c>
      <c r="FE12" s="569">
        <v>203.6</v>
      </c>
      <c r="FF12" s="570"/>
      <c r="FG12" s="571">
        <v>825</v>
      </c>
      <c r="FH12" s="571">
        <v>2</v>
      </c>
      <c r="FI12" s="571"/>
      <c r="FJ12" s="571"/>
      <c r="FK12" s="572">
        <v>1</v>
      </c>
      <c r="FL12" s="573">
        <f t="shared" si="19"/>
        <v>828</v>
      </c>
      <c r="FM12" s="574">
        <v>22.81</v>
      </c>
      <c r="FN12" s="575"/>
      <c r="FO12" s="576">
        <v>270</v>
      </c>
      <c r="FP12" s="576">
        <v>97</v>
      </c>
      <c r="FQ12" s="576">
        <v>0</v>
      </c>
      <c r="FR12" s="576">
        <v>0</v>
      </c>
      <c r="FS12" s="577"/>
      <c r="FT12" s="578">
        <f t="shared" si="20"/>
        <v>367</v>
      </c>
      <c r="FU12" s="579">
        <v>3.69</v>
      </c>
      <c r="FV12" s="561"/>
      <c r="FW12" s="554">
        <v>857</v>
      </c>
      <c r="FX12" s="554"/>
      <c r="FY12" s="554"/>
      <c r="FZ12" s="554"/>
      <c r="GA12" s="555"/>
      <c r="GB12" s="556">
        <f t="shared" si="21"/>
        <v>857</v>
      </c>
      <c r="GC12" s="560">
        <v>60.41</v>
      </c>
      <c r="GD12" s="638"/>
      <c r="GE12" s="576">
        <v>946389</v>
      </c>
      <c r="GF12" s="576">
        <v>32334</v>
      </c>
      <c r="GG12" s="576">
        <v>13459</v>
      </c>
      <c r="GH12" s="576">
        <v>250</v>
      </c>
      <c r="GI12" s="577">
        <v>45</v>
      </c>
      <c r="GJ12" s="578">
        <f t="shared" si="22"/>
        <v>992477</v>
      </c>
      <c r="GK12" s="579">
        <v>17468.43</v>
      </c>
    </row>
  </sheetData>
  <sheetProtection/>
  <mergeCells count="25">
    <mergeCell ref="GD3:GK3"/>
    <mergeCell ref="DZ3:EG3"/>
    <mergeCell ref="EH3:EO3"/>
    <mergeCell ref="EX3:FE3"/>
    <mergeCell ref="FF3:FM3"/>
    <mergeCell ref="FN3:FU3"/>
    <mergeCell ref="FV3:GC3"/>
    <mergeCell ref="EP3:EW3"/>
    <mergeCell ref="DJ3:DQ3"/>
    <mergeCell ref="DR3:DY3"/>
    <mergeCell ref="AH3:AO3"/>
    <mergeCell ref="AP3:AW3"/>
    <mergeCell ref="AX3:BE3"/>
    <mergeCell ref="BF3:BM3"/>
    <mergeCell ref="BN3:BU3"/>
    <mergeCell ref="BV3:CC3"/>
    <mergeCell ref="CD3:CK3"/>
    <mergeCell ref="CL3:CS3"/>
    <mergeCell ref="A3:A4"/>
    <mergeCell ref="B3:I3"/>
    <mergeCell ref="J3:Q3"/>
    <mergeCell ref="R3:Y3"/>
    <mergeCell ref="Z3:AG3"/>
    <mergeCell ref="DB3:DI3"/>
    <mergeCell ref="CT3:DA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A43"/>
  <sheetViews>
    <sheetView zoomScalePageLayoutView="0" workbookViewId="0" topLeftCell="A1">
      <pane xSplit="1" topLeftCell="CO1" activePane="topRight" state="frozen"/>
      <selection pane="topLeft" activeCell="A1" sqref="A1"/>
      <selection pane="topRight" activeCell="CW42" sqref="CW42"/>
    </sheetView>
  </sheetViews>
  <sheetFormatPr defaultColWidth="9.140625" defaultRowHeight="15"/>
  <cols>
    <col min="1" max="1" width="27.8515625" style="55" bestFit="1" customWidth="1"/>
    <col min="2" max="3" width="11.421875" style="55" bestFit="1" customWidth="1"/>
    <col min="4" max="4" width="12.421875" style="55" bestFit="1" customWidth="1"/>
    <col min="5" max="5" width="12.8515625" style="55" bestFit="1" customWidth="1"/>
    <col min="6" max="7" width="11.7109375" style="55" bestFit="1" customWidth="1"/>
    <col min="8" max="9" width="12.8515625" style="55" bestFit="1" customWidth="1"/>
    <col min="10" max="11" width="11.7109375" style="55" bestFit="1" customWidth="1"/>
    <col min="12" max="13" width="12.8515625" style="55" bestFit="1" customWidth="1"/>
    <col min="14" max="14" width="11.421875" style="55" bestFit="1" customWidth="1"/>
    <col min="15" max="15" width="11.7109375" style="55" bestFit="1" customWidth="1"/>
    <col min="16" max="16" width="12.421875" style="55" bestFit="1" customWidth="1"/>
    <col min="17" max="17" width="12.8515625" style="55" bestFit="1" customWidth="1"/>
    <col min="18" max="19" width="11.7109375" style="55" bestFit="1" customWidth="1"/>
    <col min="20" max="21" width="12.8515625" style="55" bestFit="1" customWidth="1"/>
    <col min="22" max="23" width="11.7109375" style="55" bestFit="1" customWidth="1"/>
    <col min="24" max="25" width="12.8515625" style="55" bestFit="1" customWidth="1"/>
    <col min="26" max="27" width="11.7109375" style="55" bestFit="1" customWidth="1"/>
    <col min="28" max="28" width="12.8515625" style="55" bestFit="1" customWidth="1"/>
    <col min="29" max="29" width="13.28125" style="55" bestFit="1" customWidth="1"/>
    <col min="30" max="31" width="11.7109375" style="55" bestFit="1" customWidth="1"/>
    <col min="32" max="32" width="12.8515625" style="55" bestFit="1" customWidth="1"/>
    <col min="33" max="33" width="13.28125" style="55" bestFit="1" customWidth="1"/>
    <col min="34" max="35" width="11.7109375" style="55" bestFit="1" customWidth="1"/>
    <col min="36" max="36" width="12.8515625" style="55" bestFit="1" customWidth="1"/>
    <col min="37" max="37" width="13.28125" style="55" bestFit="1" customWidth="1"/>
    <col min="38" max="39" width="11.7109375" style="55" bestFit="1" customWidth="1"/>
    <col min="40" max="41" width="12.8515625" style="55" bestFit="1" customWidth="1"/>
    <col min="42" max="43" width="11.421875" style="55" bestFit="1" customWidth="1"/>
    <col min="44" max="45" width="12.8515625" style="55" bestFit="1" customWidth="1"/>
    <col min="46" max="47" width="11.7109375" style="55" bestFit="1" customWidth="1"/>
    <col min="48" max="49" width="12.8515625" style="55" bestFit="1" customWidth="1"/>
    <col min="50" max="51" width="11.7109375" style="55" bestFit="1" customWidth="1"/>
    <col min="52" max="53" width="12.8515625" style="55" bestFit="1" customWidth="1"/>
    <col min="54" max="55" width="11.7109375" style="55" bestFit="1" customWidth="1"/>
    <col min="56" max="57" width="12.8515625" style="55" bestFit="1" customWidth="1"/>
    <col min="58" max="59" width="11.7109375" style="55" bestFit="1" customWidth="1"/>
    <col min="60" max="61" width="12.8515625" style="55" bestFit="1" customWidth="1"/>
    <col min="62" max="63" width="11.7109375" style="55" bestFit="1" customWidth="1"/>
    <col min="64" max="64" width="12.8515625" style="55" bestFit="1" customWidth="1"/>
    <col min="65" max="65" width="13.28125" style="55" bestFit="1" customWidth="1"/>
    <col min="66" max="67" width="11.7109375" style="55" bestFit="1" customWidth="1"/>
    <col min="68" max="69" width="12.8515625" style="55" bestFit="1" customWidth="1"/>
    <col min="70" max="71" width="11.7109375" style="55" bestFit="1" customWidth="1"/>
    <col min="72" max="72" width="12.8515625" style="55" bestFit="1" customWidth="1"/>
    <col min="73" max="73" width="13.28125" style="55" bestFit="1" customWidth="1"/>
    <col min="74" max="75" width="11.7109375" style="55" bestFit="1" customWidth="1"/>
    <col min="76" max="76" width="12.8515625" style="55" bestFit="1" customWidth="1"/>
    <col min="77" max="77" width="13.28125" style="55" bestFit="1" customWidth="1"/>
    <col min="78" max="79" width="11.7109375" style="357" bestFit="1" customWidth="1"/>
    <col min="80" max="81" width="12.8515625" style="357" bestFit="1" customWidth="1"/>
    <col min="82" max="83" width="11.7109375" style="55" bestFit="1" customWidth="1"/>
    <col min="84" max="84" width="12.8515625" style="55" bestFit="1" customWidth="1"/>
    <col min="85" max="85" width="13.28125" style="55" bestFit="1" customWidth="1"/>
    <col min="86" max="87" width="11.7109375" style="55" bestFit="1" customWidth="1"/>
    <col min="88" max="88" width="12.8515625" style="55" bestFit="1" customWidth="1"/>
    <col min="89" max="89" width="13.28125" style="55" bestFit="1" customWidth="1"/>
    <col min="90" max="91" width="11.7109375" style="55" bestFit="1" customWidth="1"/>
    <col min="92" max="93" width="12.8515625" style="55" bestFit="1" customWidth="1"/>
    <col min="94" max="95" width="11.7109375" style="55" bestFit="1" customWidth="1"/>
    <col min="96" max="97" width="12.8515625" style="55" bestFit="1" customWidth="1"/>
    <col min="98" max="99" width="11.7109375" style="55" bestFit="1" customWidth="1"/>
    <col min="100" max="101" width="12.8515625" style="55" bestFit="1" customWidth="1"/>
    <col min="102" max="103" width="11.7109375" style="55" bestFit="1" customWidth="1"/>
    <col min="104" max="105" width="12.8515625" style="55" bestFit="1" customWidth="1"/>
    <col min="106" max="16384" width="9.140625" style="55" customWidth="1"/>
  </cols>
  <sheetData>
    <row r="1" spans="1:103" ht="14.25">
      <c r="A1" s="1687" t="s">
        <v>183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7"/>
      <c r="R1" s="1687"/>
      <c r="S1" s="1687"/>
      <c r="T1" s="1687"/>
      <c r="U1" s="1687"/>
      <c r="V1" s="1687"/>
      <c r="W1" s="1687"/>
      <c r="X1" s="1687"/>
      <c r="Y1" s="1687"/>
      <c r="Z1" s="1687"/>
      <c r="AA1" s="1687"/>
      <c r="AB1" s="1687"/>
      <c r="AC1" s="1687"/>
      <c r="AD1" s="1687"/>
      <c r="AE1" s="1687"/>
      <c r="AF1" s="1687"/>
      <c r="AG1" s="1687"/>
      <c r="AH1" s="1687"/>
      <c r="AI1" s="1687"/>
      <c r="AJ1" s="1687"/>
      <c r="AK1" s="1687"/>
      <c r="AL1" s="1687"/>
      <c r="AM1" s="1687"/>
      <c r="AN1" s="1687"/>
      <c r="AO1" s="1687"/>
      <c r="AP1" s="1687"/>
      <c r="AQ1" s="1687"/>
      <c r="AR1" s="1687"/>
      <c r="AS1" s="1687"/>
      <c r="AT1" s="1687"/>
      <c r="AU1" s="1687"/>
      <c r="AV1" s="1687"/>
      <c r="AW1" s="1687"/>
      <c r="AX1" s="1687"/>
      <c r="AY1" s="1687"/>
      <c r="AZ1" s="1687"/>
      <c r="BA1" s="1687"/>
      <c r="BB1" s="1687"/>
      <c r="BC1" s="1687"/>
      <c r="BD1" s="1687"/>
      <c r="BE1" s="1687"/>
      <c r="BF1" s="1687"/>
      <c r="BG1" s="1687"/>
      <c r="BH1" s="1687"/>
      <c r="BI1" s="1687"/>
      <c r="BJ1" s="1687"/>
      <c r="BK1" s="1687"/>
      <c r="BL1" s="1687"/>
      <c r="BM1" s="1687"/>
      <c r="BN1" s="1687"/>
      <c r="BO1" s="1687"/>
      <c r="BP1" s="1687"/>
      <c r="BQ1" s="1687"/>
      <c r="BR1" s="1687"/>
      <c r="BS1" s="1687"/>
      <c r="BT1" s="1687"/>
      <c r="BU1" s="1687"/>
      <c r="BV1" s="1687"/>
      <c r="BW1" s="1687"/>
      <c r="BX1" s="1687"/>
      <c r="BY1" s="1687"/>
      <c r="BZ1" s="1687"/>
      <c r="CA1" s="1687"/>
      <c r="CB1" s="1687"/>
      <c r="CC1" s="1687"/>
      <c r="CD1" s="1687"/>
      <c r="CE1" s="1687"/>
      <c r="CF1" s="1687"/>
      <c r="CG1" s="1687"/>
      <c r="CH1" s="1687"/>
      <c r="CI1" s="1687"/>
      <c r="CJ1" s="1687"/>
      <c r="CK1" s="1687"/>
      <c r="CL1" s="1687"/>
      <c r="CM1" s="1687"/>
      <c r="CN1" s="1687"/>
      <c r="CO1" s="1687"/>
      <c r="CP1" s="1687"/>
      <c r="CQ1" s="1687"/>
      <c r="CR1" s="1687"/>
      <c r="CS1" s="1687"/>
      <c r="CT1" s="1687"/>
      <c r="CU1" s="1687"/>
      <c r="CV1" s="1687"/>
      <c r="CW1" s="1687"/>
      <c r="CX1" s="1687"/>
      <c r="CY1" s="1687"/>
    </row>
    <row r="2" spans="1:103" ht="15" thickBot="1">
      <c r="A2" s="1688" t="s">
        <v>184</v>
      </c>
      <c r="B2" s="1688"/>
      <c r="C2" s="1688"/>
      <c r="D2" s="1688"/>
      <c r="E2" s="1688"/>
      <c r="F2" s="1688"/>
      <c r="G2" s="1688"/>
      <c r="H2" s="1688"/>
      <c r="I2" s="1688"/>
      <c r="J2" s="1688"/>
      <c r="K2" s="1688"/>
      <c r="L2" s="1688"/>
      <c r="M2" s="1688"/>
      <c r="N2" s="1688"/>
      <c r="O2" s="1688"/>
      <c r="P2" s="1688"/>
      <c r="Q2" s="1688"/>
      <c r="R2" s="1688"/>
      <c r="S2" s="1688"/>
      <c r="T2" s="1688"/>
      <c r="U2" s="1688"/>
      <c r="V2" s="1688"/>
      <c r="W2" s="1688"/>
      <c r="X2" s="1688"/>
      <c r="Y2" s="1688"/>
      <c r="Z2" s="1688"/>
      <c r="AA2" s="1688"/>
      <c r="AB2" s="1688"/>
      <c r="AC2" s="1688"/>
      <c r="AD2" s="1688"/>
      <c r="AE2" s="1688"/>
      <c r="AF2" s="1688"/>
      <c r="AG2" s="1688"/>
      <c r="AH2" s="1688"/>
      <c r="AI2" s="1688"/>
      <c r="AJ2" s="1688"/>
      <c r="AK2" s="1688"/>
      <c r="AL2" s="1688"/>
      <c r="AM2" s="1688"/>
      <c r="AN2" s="1688"/>
      <c r="AO2" s="1688"/>
      <c r="AP2" s="1688"/>
      <c r="AQ2" s="1688"/>
      <c r="AR2" s="1688"/>
      <c r="AS2" s="1688"/>
      <c r="AT2" s="1688"/>
      <c r="AU2" s="1688"/>
      <c r="AV2" s="1688"/>
      <c r="AW2" s="1688"/>
      <c r="AX2" s="1688"/>
      <c r="AY2" s="1688"/>
      <c r="AZ2" s="1688"/>
      <c r="BA2" s="1688"/>
      <c r="BB2" s="1688"/>
      <c r="BC2" s="1688"/>
      <c r="BD2" s="1688"/>
      <c r="BE2" s="1688"/>
      <c r="BF2" s="1688"/>
      <c r="BG2" s="1688"/>
      <c r="BH2" s="1688"/>
      <c r="BI2" s="1688"/>
      <c r="BJ2" s="1688"/>
      <c r="BK2" s="1688"/>
      <c r="BL2" s="1688"/>
      <c r="BM2" s="1688"/>
      <c r="BN2" s="1688"/>
      <c r="BO2" s="1688"/>
      <c r="BP2" s="1688"/>
      <c r="BQ2" s="1688"/>
      <c r="BR2" s="1688"/>
      <c r="BS2" s="1688"/>
      <c r="BT2" s="1688"/>
      <c r="BU2" s="1688"/>
      <c r="BV2" s="1688"/>
      <c r="BW2" s="1688"/>
      <c r="BX2" s="1688"/>
      <c r="BY2" s="1688"/>
      <c r="BZ2" s="1688"/>
      <c r="CA2" s="1688"/>
      <c r="CB2" s="1688"/>
      <c r="CC2" s="1688"/>
      <c r="CD2" s="1688"/>
      <c r="CE2" s="1688"/>
      <c r="CF2" s="1688"/>
      <c r="CG2" s="1688"/>
      <c r="CH2" s="1688"/>
      <c r="CI2" s="1688"/>
      <c r="CJ2" s="1688"/>
      <c r="CK2" s="1688"/>
      <c r="CL2" s="1688"/>
      <c r="CM2" s="1688"/>
      <c r="CN2" s="1688"/>
      <c r="CO2" s="1688"/>
      <c r="CP2" s="1688"/>
      <c r="CQ2" s="1688"/>
      <c r="CR2" s="1688"/>
      <c r="CS2" s="1688"/>
      <c r="CT2" s="1688"/>
      <c r="CU2" s="1688"/>
      <c r="CV2" s="1688"/>
      <c r="CW2" s="1688"/>
      <c r="CX2" s="1688"/>
      <c r="CY2" s="1688"/>
    </row>
    <row r="3" spans="1:105" ht="38.25" customHeight="1" thickBot="1">
      <c r="A3" s="1689" t="s">
        <v>0</v>
      </c>
      <c r="B3" s="1691" t="s">
        <v>190</v>
      </c>
      <c r="C3" s="1692"/>
      <c r="D3" s="1692"/>
      <c r="E3" s="1693"/>
      <c r="F3" s="1683" t="s">
        <v>191</v>
      </c>
      <c r="G3" s="1683"/>
      <c r="H3" s="1683"/>
      <c r="I3" s="1684"/>
      <c r="J3" s="1683" t="s">
        <v>192</v>
      </c>
      <c r="K3" s="1683"/>
      <c r="L3" s="1683"/>
      <c r="M3" s="1684"/>
      <c r="N3" s="1698" t="s">
        <v>193</v>
      </c>
      <c r="O3" s="1698"/>
      <c r="P3" s="1698"/>
      <c r="Q3" s="1699"/>
      <c r="R3" s="1683" t="s">
        <v>194</v>
      </c>
      <c r="S3" s="1683"/>
      <c r="T3" s="1683"/>
      <c r="U3" s="1684"/>
      <c r="V3" s="1683" t="s">
        <v>195</v>
      </c>
      <c r="W3" s="1683"/>
      <c r="X3" s="1683"/>
      <c r="Y3" s="1684"/>
      <c r="Z3" s="1683" t="s">
        <v>196</v>
      </c>
      <c r="AA3" s="1683"/>
      <c r="AB3" s="1683"/>
      <c r="AC3" s="1684"/>
      <c r="AD3" s="1683" t="s">
        <v>197</v>
      </c>
      <c r="AE3" s="1683"/>
      <c r="AF3" s="1683"/>
      <c r="AG3" s="1684"/>
      <c r="AH3" s="1683" t="s">
        <v>198</v>
      </c>
      <c r="AI3" s="1683"/>
      <c r="AJ3" s="1683"/>
      <c r="AK3" s="1684"/>
      <c r="AL3" s="1683" t="s">
        <v>199</v>
      </c>
      <c r="AM3" s="1683"/>
      <c r="AN3" s="1683"/>
      <c r="AO3" s="1684"/>
      <c r="AP3" s="1683" t="s">
        <v>200</v>
      </c>
      <c r="AQ3" s="1683"/>
      <c r="AR3" s="1683"/>
      <c r="AS3" s="1684"/>
      <c r="AT3" s="1683" t="s">
        <v>201</v>
      </c>
      <c r="AU3" s="1683"/>
      <c r="AV3" s="1683"/>
      <c r="AW3" s="1684"/>
      <c r="AX3" s="1683" t="s">
        <v>202</v>
      </c>
      <c r="AY3" s="1683"/>
      <c r="AZ3" s="1683"/>
      <c r="BA3" s="1684"/>
      <c r="BB3" s="1683" t="s">
        <v>203</v>
      </c>
      <c r="BC3" s="1683"/>
      <c r="BD3" s="1683"/>
      <c r="BE3" s="1684"/>
      <c r="BF3" s="1685" t="s">
        <v>204</v>
      </c>
      <c r="BG3" s="1685"/>
      <c r="BH3" s="1685"/>
      <c r="BI3" s="1686"/>
      <c r="BJ3" s="1683" t="s">
        <v>205</v>
      </c>
      <c r="BK3" s="1683"/>
      <c r="BL3" s="1683"/>
      <c r="BM3" s="1684"/>
      <c r="BN3" s="1683" t="s">
        <v>206</v>
      </c>
      <c r="BO3" s="1683"/>
      <c r="BP3" s="1683"/>
      <c r="BQ3" s="1684"/>
      <c r="BR3" s="1683" t="s">
        <v>207</v>
      </c>
      <c r="BS3" s="1683"/>
      <c r="BT3" s="1683"/>
      <c r="BU3" s="1684"/>
      <c r="BV3" s="1685" t="s">
        <v>208</v>
      </c>
      <c r="BW3" s="1685"/>
      <c r="BX3" s="1685"/>
      <c r="BY3" s="1686"/>
      <c r="BZ3" s="1700" t="s">
        <v>209</v>
      </c>
      <c r="CA3" s="1701"/>
      <c r="CB3" s="1701"/>
      <c r="CC3" s="1702"/>
      <c r="CD3" s="1683" t="s">
        <v>210</v>
      </c>
      <c r="CE3" s="1683"/>
      <c r="CF3" s="1683"/>
      <c r="CG3" s="1684"/>
      <c r="CH3" s="1683" t="s">
        <v>211</v>
      </c>
      <c r="CI3" s="1683"/>
      <c r="CJ3" s="1683"/>
      <c r="CK3" s="1684"/>
      <c r="CL3" s="1683" t="s">
        <v>212</v>
      </c>
      <c r="CM3" s="1683"/>
      <c r="CN3" s="1683"/>
      <c r="CO3" s="1684"/>
      <c r="CP3" s="1698" t="s">
        <v>1</v>
      </c>
      <c r="CQ3" s="1698"/>
      <c r="CR3" s="1698"/>
      <c r="CS3" s="1699"/>
      <c r="CT3" s="1694" t="s">
        <v>213</v>
      </c>
      <c r="CU3" s="1685"/>
      <c r="CV3" s="1685"/>
      <c r="CW3" s="1686"/>
      <c r="CX3" s="1695" t="s">
        <v>2</v>
      </c>
      <c r="CY3" s="1696"/>
      <c r="CZ3" s="1696"/>
      <c r="DA3" s="1697"/>
    </row>
    <row r="4" spans="1:105" s="977" customFormat="1" ht="15" customHeight="1" thickBot="1">
      <c r="A4" s="1690"/>
      <c r="B4" s="982" t="s">
        <v>285</v>
      </c>
      <c r="C4" s="983" t="s">
        <v>286</v>
      </c>
      <c r="D4" s="983" t="s">
        <v>287</v>
      </c>
      <c r="E4" s="984" t="s">
        <v>288</v>
      </c>
      <c r="F4" s="993" t="s">
        <v>285</v>
      </c>
      <c r="G4" s="994" t="s">
        <v>286</v>
      </c>
      <c r="H4" s="994" t="s">
        <v>287</v>
      </c>
      <c r="I4" s="995" t="s">
        <v>288</v>
      </c>
      <c r="J4" s="993" t="s">
        <v>285</v>
      </c>
      <c r="K4" s="994" t="s">
        <v>286</v>
      </c>
      <c r="L4" s="994" t="s">
        <v>287</v>
      </c>
      <c r="M4" s="995" t="s">
        <v>288</v>
      </c>
      <c r="N4" s="993" t="s">
        <v>285</v>
      </c>
      <c r="O4" s="994" t="s">
        <v>286</v>
      </c>
      <c r="P4" s="994" t="s">
        <v>287</v>
      </c>
      <c r="Q4" s="995" t="s">
        <v>288</v>
      </c>
      <c r="R4" s="993" t="s">
        <v>285</v>
      </c>
      <c r="S4" s="994" t="s">
        <v>286</v>
      </c>
      <c r="T4" s="994" t="s">
        <v>287</v>
      </c>
      <c r="U4" s="995" t="s">
        <v>288</v>
      </c>
      <c r="V4" s="993" t="s">
        <v>285</v>
      </c>
      <c r="W4" s="994" t="s">
        <v>286</v>
      </c>
      <c r="X4" s="994" t="s">
        <v>287</v>
      </c>
      <c r="Y4" s="995" t="s">
        <v>288</v>
      </c>
      <c r="Z4" s="993" t="s">
        <v>285</v>
      </c>
      <c r="AA4" s="994" t="s">
        <v>286</v>
      </c>
      <c r="AB4" s="994" t="s">
        <v>287</v>
      </c>
      <c r="AC4" s="995" t="s">
        <v>288</v>
      </c>
      <c r="AD4" s="993" t="s">
        <v>285</v>
      </c>
      <c r="AE4" s="994" t="s">
        <v>286</v>
      </c>
      <c r="AF4" s="994" t="s">
        <v>287</v>
      </c>
      <c r="AG4" s="995" t="s">
        <v>288</v>
      </c>
      <c r="AH4" s="993" t="s">
        <v>285</v>
      </c>
      <c r="AI4" s="994" t="s">
        <v>286</v>
      </c>
      <c r="AJ4" s="994" t="s">
        <v>287</v>
      </c>
      <c r="AK4" s="995" t="s">
        <v>288</v>
      </c>
      <c r="AL4" s="993" t="s">
        <v>285</v>
      </c>
      <c r="AM4" s="994" t="s">
        <v>286</v>
      </c>
      <c r="AN4" s="994" t="s">
        <v>287</v>
      </c>
      <c r="AO4" s="995" t="s">
        <v>288</v>
      </c>
      <c r="AP4" s="993" t="s">
        <v>285</v>
      </c>
      <c r="AQ4" s="994" t="s">
        <v>286</v>
      </c>
      <c r="AR4" s="994" t="s">
        <v>287</v>
      </c>
      <c r="AS4" s="995" t="s">
        <v>288</v>
      </c>
      <c r="AT4" s="993" t="s">
        <v>285</v>
      </c>
      <c r="AU4" s="994" t="s">
        <v>286</v>
      </c>
      <c r="AV4" s="994" t="s">
        <v>287</v>
      </c>
      <c r="AW4" s="995" t="s">
        <v>288</v>
      </c>
      <c r="AX4" s="993" t="s">
        <v>285</v>
      </c>
      <c r="AY4" s="994" t="s">
        <v>286</v>
      </c>
      <c r="AZ4" s="994" t="s">
        <v>287</v>
      </c>
      <c r="BA4" s="995" t="s">
        <v>288</v>
      </c>
      <c r="BB4" s="993" t="s">
        <v>285</v>
      </c>
      <c r="BC4" s="994" t="s">
        <v>286</v>
      </c>
      <c r="BD4" s="994" t="s">
        <v>287</v>
      </c>
      <c r="BE4" s="995" t="s">
        <v>288</v>
      </c>
      <c r="BF4" s="993" t="s">
        <v>285</v>
      </c>
      <c r="BG4" s="994" t="s">
        <v>286</v>
      </c>
      <c r="BH4" s="994" t="s">
        <v>287</v>
      </c>
      <c r="BI4" s="995" t="s">
        <v>288</v>
      </c>
      <c r="BJ4" s="993" t="s">
        <v>285</v>
      </c>
      <c r="BK4" s="994" t="s">
        <v>286</v>
      </c>
      <c r="BL4" s="994" t="s">
        <v>287</v>
      </c>
      <c r="BM4" s="995" t="s">
        <v>288</v>
      </c>
      <c r="BN4" s="993" t="s">
        <v>285</v>
      </c>
      <c r="BO4" s="994" t="s">
        <v>286</v>
      </c>
      <c r="BP4" s="994" t="s">
        <v>287</v>
      </c>
      <c r="BQ4" s="995" t="s">
        <v>288</v>
      </c>
      <c r="BR4" s="993" t="s">
        <v>285</v>
      </c>
      <c r="BS4" s="994" t="s">
        <v>286</v>
      </c>
      <c r="BT4" s="994" t="s">
        <v>287</v>
      </c>
      <c r="BU4" s="995" t="s">
        <v>288</v>
      </c>
      <c r="BV4" s="993" t="s">
        <v>285</v>
      </c>
      <c r="BW4" s="994" t="s">
        <v>286</v>
      </c>
      <c r="BX4" s="994" t="s">
        <v>287</v>
      </c>
      <c r="BY4" s="995" t="s">
        <v>288</v>
      </c>
      <c r="BZ4" s="993" t="s">
        <v>285</v>
      </c>
      <c r="CA4" s="994" t="s">
        <v>286</v>
      </c>
      <c r="CB4" s="994" t="s">
        <v>287</v>
      </c>
      <c r="CC4" s="995" t="s">
        <v>288</v>
      </c>
      <c r="CD4" s="993" t="s">
        <v>285</v>
      </c>
      <c r="CE4" s="994" t="s">
        <v>286</v>
      </c>
      <c r="CF4" s="994" t="s">
        <v>287</v>
      </c>
      <c r="CG4" s="995" t="s">
        <v>288</v>
      </c>
      <c r="CH4" s="993" t="s">
        <v>285</v>
      </c>
      <c r="CI4" s="994" t="s">
        <v>286</v>
      </c>
      <c r="CJ4" s="994" t="s">
        <v>287</v>
      </c>
      <c r="CK4" s="995" t="s">
        <v>288</v>
      </c>
      <c r="CL4" s="993" t="s">
        <v>285</v>
      </c>
      <c r="CM4" s="994" t="s">
        <v>286</v>
      </c>
      <c r="CN4" s="994" t="s">
        <v>287</v>
      </c>
      <c r="CO4" s="995" t="s">
        <v>288</v>
      </c>
      <c r="CP4" s="993" t="s">
        <v>285</v>
      </c>
      <c r="CQ4" s="994" t="s">
        <v>286</v>
      </c>
      <c r="CR4" s="994" t="s">
        <v>287</v>
      </c>
      <c r="CS4" s="995" t="s">
        <v>288</v>
      </c>
      <c r="CT4" s="993" t="s">
        <v>285</v>
      </c>
      <c r="CU4" s="994" t="s">
        <v>286</v>
      </c>
      <c r="CV4" s="994" t="s">
        <v>287</v>
      </c>
      <c r="CW4" s="995" t="s">
        <v>288</v>
      </c>
      <c r="CX4" s="993" t="s">
        <v>285</v>
      </c>
      <c r="CY4" s="994" t="s">
        <v>286</v>
      </c>
      <c r="CZ4" s="994" t="s">
        <v>287</v>
      </c>
      <c r="DA4" s="995" t="s">
        <v>288</v>
      </c>
    </row>
    <row r="5" spans="1:105" ht="28.5">
      <c r="A5" s="442" t="s">
        <v>146</v>
      </c>
      <c r="B5" s="19">
        <v>1205224</v>
      </c>
      <c r="C5" s="18">
        <v>1592106</v>
      </c>
      <c r="D5" s="343">
        <v>1924912</v>
      </c>
      <c r="E5" s="645">
        <v>2690066</v>
      </c>
      <c r="F5" s="985">
        <v>28456</v>
      </c>
      <c r="G5" s="986">
        <v>27892</v>
      </c>
      <c r="H5" s="986">
        <v>28456</v>
      </c>
      <c r="I5" s="987">
        <v>27892</v>
      </c>
      <c r="J5" s="985">
        <v>1218037</v>
      </c>
      <c r="K5" s="986">
        <v>239307</v>
      </c>
      <c r="L5" s="986">
        <v>1218037</v>
      </c>
      <c r="M5" s="987">
        <v>239307</v>
      </c>
      <c r="N5" s="985">
        <v>3339846</v>
      </c>
      <c r="O5" s="986">
        <v>1969433</v>
      </c>
      <c r="P5" s="986">
        <v>4800976</v>
      </c>
      <c r="Q5" s="987">
        <v>3495423</v>
      </c>
      <c r="R5" s="985">
        <v>2594197</v>
      </c>
      <c r="S5" s="986">
        <v>2240722</v>
      </c>
      <c r="T5" s="986">
        <v>1944942</v>
      </c>
      <c r="U5" s="987">
        <v>1452362</v>
      </c>
      <c r="V5" s="985">
        <f>702724+31919+8151+627156+4000+7075+57358+2763</f>
        <v>1441146</v>
      </c>
      <c r="W5" s="986">
        <f>814201+20611+10024+273307+1255+11342+34162+13080</f>
        <v>1177982</v>
      </c>
      <c r="X5" s="986">
        <f>V5</f>
        <v>1441146</v>
      </c>
      <c r="Y5" s="987">
        <f>W5</f>
        <v>1177982</v>
      </c>
      <c r="Z5" s="985">
        <v>236140</v>
      </c>
      <c r="AA5" s="986">
        <v>898127</v>
      </c>
      <c r="AB5" s="986">
        <v>3123057</v>
      </c>
      <c r="AC5" s="987">
        <v>3451130</v>
      </c>
      <c r="AD5" s="985">
        <v>76820</v>
      </c>
      <c r="AE5" s="986">
        <v>13951</v>
      </c>
      <c r="AF5" s="986">
        <v>155434</v>
      </c>
      <c r="AG5" s="987">
        <v>13951</v>
      </c>
      <c r="AH5" s="985">
        <v>1087537</v>
      </c>
      <c r="AI5" s="986">
        <v>1055222</v>
      </c>
      <c r="AJ5" s="986">
        <v>1087537</v>
      </c>
      <c r="AK5" s="987">
        <v>1055222</v>
      </c>
      <c r="AL5" s="985">
        <v>1382681</v>
      </c>
      <c r="AM5" s="986">
        <v>45639</v>
      </c>
      <c r="AN5" s="986">
        <v>1382681</v>
      </c>
      <c r="AO5" s="987">
        <v>45639</v>
      </c>
      <c r="AP5" s="985">
        <v>4759442</v>
      </c>
      <c r="AQ5" s="986">
        <v>3965162</v>
      </c>
      <c r="AR5" s="986">
        <v>1269037</v>
      </c>
      <c r="AS5" s="987">
        <v>10022033</v>
      </c>
      <c r="AT5" s="985">
        <v>4165680</v>
      </c>
      <c r="AU5" s="986">
        <v>1966606</v>
      </c>
      <c r="AV5" s="985">
        <v>10770375</v>
      </c>
      <c r="AW5" s="987">
        <v>10892136</v>
      </c>
      <c r="AX5" s="985">
        <v>1042361</v>
      </c>
      <c r="AY5" s="986">
        <v>660354</v>
      </c>
      <c r="AZ5" s="986">
        <v>1042361</v>
      </c>
      <c r="BA5" s="987">
        <v>660354</v>
      </c>
      <c r="BB5" s="985">
        <v>1112942</v>
      </c>
      <c r="BC5" s="986">
        <v>446259</v>
      </c>
      <c r="BD5" s="986">
        <v>1416896</v>
      </c>
      <c r="BE5" s="987">
        <v>629305</v>
      </c>
      <c r="BF5" s="985">
        <v>3872254</v>
      </c>
      <c r="BG5" s="986">
        <v>2924360</v>
      </c>
      <c r="BH5" s="986">
        <v>3872254</v>
      </c>
      <c r="BI5" s="987">
        <v>2924360</v>
      </c>
      <c r="BJ5" s="985">
        <v>2097564</v>
      </c>
      <c r="BK5" s="986">
        <v>1828843</v>
      </c>
      <c r="BL5" s="986">
        <v>4402208</v>
      </c>
      <c r="BM5" s="987">
        <v>3991670</v>
      </c>
      <c r="BN5" s="985">
        <v>936567</v>
      </c>
      <c r="BO5" s="986">
        <v>354627</v>
      </c>
      <c r="BP5" s="986">
        <v>1530461</v>
      </c>
      <c r="BQ5" s="987">
        <v>1352880</v>
      </c>
      <c r="BR5" s="985">
        <v>1497218</v>
      </c>
      <c r="BS5" s="986">
        <v>1316045</v>
      </c>
      <c r="BT5" s="986">
        <v>1497218</v>
      </c>
      <c r="BU5" s="987">
        <v>1316045</v>
      </c>
      <c r="BV5" s="985"/>
      <c r="BW5" s="986"/>
      <c r="BX5" s="986"/>
      <c r="BY5" s="987"/>
      <c r="BZ5" s="988">
        <v>4510722</v>
      </c>
      <c r="CA5" s="989">
        <v>3558127</v>
      </c>
      <c r="CB5" s="989">
        <v>9984974</v>
      </c>
      <c r="CC5" s="990">
        <v>8294017</v>
      </c>
      <c r="CD5" s="985">
        <v>1118219</v>
      </c>
      <c r="CE5" s="986">
        <v>585980</v>
      </c>
      <c r="CF5" s="986">
        <v>11182</v>
      </c>
      <c r="CG5" s="987">
        <v>585980</v>
      </c>
      <c r="CH5" s="985">
        <v>444050</v>
      </c>
      <c r="CI5" s="986">
        <v>630493</v>
      </c>
      <c r="CJ5" s="986">
        <v>1001016</v>
      </c>
      <c r="CK5" s="987">
        <v>777442</v>
      </c>
      <c r="CL5" s="985">
        <v>797388</v>
      </c>
      <c r="CM5" s="986">
        <v>1487496</v>
      </c>
      <c r="CN5" s="986">
        <v>930700</v>
      </c>
      <c r="CO5" s="987">
        <v>1851910</v>
      </c>
      <c r="CP5" s="985">
        <f>SUM(B5+F5+J5+N5+R5+V5+Z5+AD5+AH5+AL5+AP5+AT5+AX5+BB5+BF5+BJ5+BN5+BR5+BV5+BZ5+CD5+CH5+CL5)</f>
        <v>38964491</v>
      </c>
      <c r="CQ5" s="991">
        <f aca="true" t="shared" si="0" ref="CQ5:CS20">SUM(C5+G5+K5+O5+S5+W5+AA5+AE5+AI5+AM5+AQ5+AU5+AY5+BC5+BG5+BK5+BO5+BS5+BW5+CA5+CE5+CI5+CM5)</f>
        <v>28984733</v>
      </c>
      <c r="CR5" s="991">
        <f t="shared" si="0"/>
        <v>54835860</v>
      </c>
      <c r="CS5" s="992">
        <f t="shared" si="0"/>
        <v>56947106</v>
      </c>
      <c r="CT5" s="991">
        <v>26605954</v>
      </c>
      <c r="CU5" s="986">
        <v>24218226</v>
      </c>
      <c r="CV5" s="986">
        <v>26605954</v>
      </c>
      <c r="CW5" s="987">
        <v>24218226</v>
      </c>
      <c r="CX5" s="991">
        <f>CP5+CT5</f>
        <v>65570445</v>
      </c>
      <c r="CY5" s="991">
        <f aca="true" t="shared" si="1" ref="CY5:DA20">CQ5+CU5</f>
        <v>53202959</v>
      </c>
      <c r="CZ5" s="991">
        <f t="shared" si="1"/>
        <v>81441814</v>
      </c>
      <c r="DA5" s="992">
        <f t="shared" si="1"/>
        <v>81165332</v>
      </c>
    </row>
    <row r="6" spans="1:105" ht="14.25">
      <c r="A6" s="443" t="s">
        <v>147</v>
      </c>
      <c r="B6" s="83"/>
      <c r="C6" s="344"/>
      <c r="D6" s="345"/>
      <c r="E6" s="646"/>
      <c r="F6" s="30"/>
      <c r="G6" s="26"/>
      <c r="H6" s="26"/>
      <c r="I6" s="31"/>
      <c r="J6" s="30"/>
      <c r="K6" s="26"/>
      <c r="L6" s="26"/>
      <c r="M6" s="31"/>
      <c r="N6" s="30"/>
      <c r="O6" s="26"/>
      <c r="P6" s="26"/>
      <c r="Q6" s="31"/>
      <c r="R6" s="30"/>
      <c r="S6" s="26"/>
      <c r="T6" s="26"/>
      <c r="U6" s="31"/>
      <c r="V6" s="30"/>
      <c r="W6" s="26"/>
      <c r="X6" s="26"/>
      <c r="Y6" s="31"/>
      <c r="Z6" s="30"/>
      <c r="AA6" s="26"/>
      <c r="AB6" s="26"/>
      <c r="AC6" s="31"/>
      <c r="AD6" s="30"/>
      <c r="AE6" s="26"/>
      <c r="AF6" s="26"/>
      <c r="AG6" s="31"/>
      <c r="AH6" s="30"/>
      <c r="AI6" s="26"/>
      <c r="AJ6" s="26"/>
      <c r="AK6" s="31"/>
      <c r="AL6" s="30"/>
      <c r="AM6" s="26"/>
      <c r="AN6" s="26"/>
      <c r="AO6" s="31"/>
      <c r="AP6" s="30"/>
      <c r="AQ6" s="26"/>
      <c r="AR6" s="26"/>
      <c r="AS6" s="31"/>
      <c r="AT6" s="30"/>
      <c r="AU6" s="26"/>
      <c r="AV6" s="30"/>
      <c r="AW6" s="31"/>
      <c r="AX6" s="468"/>
      <c r="AY6" s="33"/>
      <c r="AZ6" s="33"/>
      <c r="BA6" s="34"/>
      <c r="BB6" s="30"/>
      <c r="BC6" s="26"/>
      <c r="BD6" s="26"/>
      <c r="BE6" s="31"/>
      <c r="BF6" s="30"/>
      <c r="BG6" s="26"/>
      <c r="BH6" s="26"/>
      <c r="BI6" s="31"/>
      <c r="BJ6" s="30"/>
      <c r="BK6" s="26"/>
      <c r="BL6" s="26"/>
      <c r="BM6" s="31"/>
      <c r="BN6" s="30"/>
      <c r="BO6" s="26"/>
      <c r="BP6" s="26"/>
      <c r="BQ6" s="31"/>
      <c r="BR6" s="30"/>
      <c r="BS6" s="26"/>
      <c r="BT6" s="26"/>
      <c r="BU6" s="31"/>
      <c r="BV6" s="333"/>
      <c r="BW6" s="26"/>
      <c r="BX6" s="26"/>
      <c r="BY6" s="31"/>
      <c r="BZ6" s="451"/>
      <c r="CA6" s="447"/>
      <c r="CB6" s="447"/>
      <c r="CC6" s="452"/>
      <c r="CD6" s="36"/>
      <c r="CE6" s="37"/>
      <c r="CF6" s="37"/>
      <c r="CG6" s="38"/>
      <c r="CH6" s="39"/>
      <c r="CI6" s="40"/>
      <c r="CJ6" s="40"/>
      <c r="CK6" s="41"/>
      <c r="CL6" s="30"/>
      <c r="CM6" s="26"/>
      <c r="CN6" s="26"/>
      <c r="CO6" s="31"/>
      <c r="CP6" s="20">
        <f aca="true" t="shared" si="2" ref="CP6:CS39">SUM(B6+F6+J6+N6+R6+V6+Z6+AD6+AH6+AL6+AP6+AT6+AX6+BB6+BF6+BJ6+BN6+BR6+BV6+BZ6+CD6+CH6+CL6)</f>
        <v>0</v>
      </c>
      <c r="CQ6" s="19">
        <f t="shared" si="0"/>
        <v>0</v>
      </c>
      <c r="CR6" s="19">
        <f t="shared" si="0"/>
        <v>0</v>
      </c>
      <c r="CS6" s="644">
        <f t="shared" si="0"/>
        <v>0</v>
      </c>
      <c r="CT6" s="346"/>
      <c r="CU6" s="40"/>
      <c r="CV6" s="40"/>
      <c r="CW6" s="41"/>
      <c r="CX6" s="19">
        <f aca="true" t="shared" si="3" ref="CX6:DA37">CP6+CT6</f>
        <v>0</v>
      </c>
      <c r="CY6" s="19">
        <f t="shared" si="1"/>
        <v>0</v>
      </c>
      <c r="CZ6" s="19">
        <f t="shared" si="1"/>
        <v>0</v>
      </c>
      <c r="DA6" s="644">
        <f t="shared" si="1"/>
        <v>0</v>
      </c>
    </row>
    <row r="7" spans="1:105" ht="28.5">
      <c r="A7" s="443" t="s">
        <v>148</v>
      </c>
      <c r="B7" s="83">
        <v>421155</v>
      </c>
      <c r="C7" s="344">
        <v>372664</v>
      </c>
      <c r="D7" s="345">
        <v>1607591</v>
      </c>
      <c r="E7" s="646">
        <v>1440351</v>
      </c>
      <c r="F7" s="30">
        <v>10303</v>
      </c>
      <c r="G7" s="26">
        <v>10676</v>
      </c>
      <c r="H7" s="26">
        <v>41816</v>
      </c>
      <c r="I7" s="31">
        <v>39618</v>
      </c>
      <c r="J7" s="30">
        <v>125514</v>
      </c>
      <c r="K7" s="26">
        <v>126390</v>
      </c>
      <c r="L7" s="26">
        <v>501521</v>
      </c>
      <c r="M7" s="31">
        <v>543469</v>
      </c>
      <c r="N7" s="30">
        <v>1575105</v>
      </c>
      <c r="O7" s="26">
        <v>1524270</v>
      </c>
      <c r="P7" s="26">
        <v>6202823</v>
      </c>
      <c r="Q7" s="31">
        <v>5910409</v>
      </c>
      <c r="R7" s="30">
        <v>56502</v>
      </c>
      <c r="S7" s="26">
        <v>50791</v>
      </c>
      <c r="T7" s="26">
        <v>219743</v>
      </c>
      <c r="U7" s="31">
        <v>190610</v>
      </c>
      <c r="V7" s="30">
        <v>173392</v>
      </c>
      <c r="W7" s="26">
        <v>144228</v>
      </c>
      <c r="X7" s="26">
        <v>673901</v>
      </c>
      <c r="Y7" s="31">
        <v>561888</v>
      </c>
      <c r="Z7" s="30">
        <v>144154</v>
      </c>
      <c r="AA7" s="26">
        <v>153667</v>
      </c>
      <c r="AB7" s="26">
        <v>568284</v>
      </c>
      <c r="AC7" s="31">
        <v>598760</v>
      </c>
      <c r="AD7" s="30">
        <v>165178</v>
      </c>
      <c r="AE7" s="26">
        <v>171877</v>
      </c>
      <c r="AF7" s="26">
        <v>661304</v>
      </c>
      <c r="AG7" s="31">
        <v>468036</v>
      </c>
      <c r="AH7" s="30">
        <v>184167</v>
      </c>
      <c r="AI7" s="26">
        <v>158100</v>
      </c>
      <c r="AJ7" s="26">
        <v>684504</v>
      </c>
      <c r="AK7" s="31">
        <v>590638</v>
      </c>
      <c r="AL7" s="30">
        <v>36847</v>
      </c>
      <c r="AM7" s="26">
        <v>42494</v>
      </c>
      <c r="AN7" s="26">
        <v>185462</v>
      </c>
      <c r="AO7" s="31">
        <v>161186</v>
      </c>
      <c r="AP7" s="30">
        <v>856549</v>
      </c>
      <c r="AQ7" s="26">
        <v>616468</v>
      </c>
      <c r="AR7" s="26">
        <v>3049025</v>
      </c>
      <c r="AS7" s="31">
        <v>2250492</v>
      </c>
      <c r="AT7" s="30">
        <v>1095074</v>
      </c>
      <c r="AU7" s="26">
        <v>1096515</v>
      </c>
      <c r="AV7" s="30">
        <v>4274256</v>
      </c>
      <c r="AW7" s="31">
        <v>4216170</v>
      </c>
      <c r="AX7" s="32">
        <v>101676</v>
      </c>
      <c r="AY7" s="33">
        <v>83934</v>
      </c>
      <c r="AZ7" s="33">
        <v>402317</v>
      </c>
      <c r="BA7" s="34">
        <v>3328216</v>
      </c>
      <c r="BB7" s="30">
        <v>98630</v>
      </c>
      <c r="BC7" s="26">
        <v>112351</v>
      </c>
      <c r="BD7" s="26">
        <v>422304</v>
      </c>
      <c r="BE7" s="31">
        <v>401873</v>
      </c>
      <c r="BF7" s="30">
        <v>425627</v>
      </c>
      <c r="BG7" s="26">
        <v>358584</v>
      </c>
      <c r="BH7" s="26">
        <v>1678660</v>
      </c>
      <c r="BI7" s="31">
        <v>1435776</v>
      </c>
      <c r="BJ7" s="30">
        <v>400835</v>
      </c>
      <c r="BK7" s="26">
        <v>403958</v>
      </c>
      <c r="BL7" s="26">
        <v>1634547</v>
      </c>
      <c r="BM7" s="31">
        <v>1755968</v>
      </c>
      <c r="BN7" s="30">
        <v>219959</v>
      </c>
      <c r="BO7" s="26">
        <v>194794</v>
      </c>
      <c r="BP7" s="26">
        <v>856670</v>
      </c>
      <c r="BQ7" s="31">
        <v>645983</v>
      </c>
      <c r="BR7" s="30">
        <v>223009</v>
      </c>
      <c r="BS7" s="26">
        <v>216887</v>
      </c>
      <c r="BT7" s="26">
        <v>915613</v>
      </c>
      <c r="BU7" s="31">
        <v>865748</v>
      </c>
      <c r="BV7" s="333"/>
      <c r="BW7" s="26"/>
      <c r="BX7" s="26"/>
      <c r="BY7" s="31"/>
      <c r="BZ7" s="453">
        <v>993662</v>
      </c>
      <c r="CA7" s="448">
        <v>877518</v>
      </c>
      <c r="CB7" s="448">
        <v>4041907</v>
      </c>
      <c r="CC7" s="454">
        <v>3484095</v>
      </c>
      <c r="CD7" s="36">
        <v>52405</v>
      </c>
      <c r="CE7" s="37">
        <v>62079</v>
      </c>
      <c r="CF7" s="37">
        <v>205465</v>
      </c>
      <c r="CG7" s="38">
        <v>214590</v>
      </c>
      <c r="CH7" s="39">
        <v>89748</v>
      </c>
      <c r="CI7" s="40">
        <v>65799</v>
      </c>
      <c r="CJ7" s="40">
        <v>318535</v>
      </c>
      <c r="CK7" s="41">
        <v>241143</v>
      </c>
      <c r="CL7" s="30">
        <v>360983</v>
      </c>
      <c r="CM7" s="26">
        <v>315912</v>
      </c>
      <c r="CN7" s="26">
        <v>1382048</v>
      </c>
      <c r="CO7" s="31">
        <v>1245390</v>
      </c>
      <c r="CP7" s="20">
        <f t="shared" si="2"/>
        <v>7810474</v>
      </c>
      <c r="CQ7" s="19">
        <f t="shared" si="0"/>
        <v>7159956</v>
      </c>
      <c r="CR7" s="19">
        <f t="shared" si="0"/>
        <v>30528296</v>
      </c>
      <c r="CS7" s="644">
        <f t="shared" si="0"/>
        <v>30590409</v>
      </c>
      <c r="CT7" s="346">
        <v>44225</v>
      </c>
      <c r="CU7" s="40">
        <v>43568</v>
      </c>
      <c r="CV7" s="40">
        <v>373753</v>
      </c>
      <c r="CW7" s="41">
        <v>352133</v>
      </c>
      <c r="CX7" s="19">
        <f t="shared" si="3"/>
        <v>7854699</v>
      </c>
      <c r="CY7" s="19">
        <f t="shared" si="1"/>
        <v>7203524</v>
      </c>
      <c r="CZ7" s="19">
        <f t="shared" si="1"/>
        <v>30902049</v>
      </c>
      <c r="DA7" s="644">
        <f t="shared" si="1"/>
        <v>30942542</v>
      </c>
    </row>
    <row r="8" spans="1:105" ht="28.5">
      <c r="A8" s="443" t="s">
        <v>149</v>
      </c>
      <c r="B8" s="83">
        <v>2917</v>
      </c>
      <c r="C8" s="344">
        <v>80098</v>
      </c>
      <c r="D8" s="345">
        <v>537130</v>
      </c>
      <c r="E8" s="646">
        <v>176479</v>
      </c>
      <c r="F8" s="30">
        <v>292</v>
      </c>
      <c r="G8" s="26">
        <v>3567</v>
      </c>
      <c r="H8" s="26">
        <v>9661</v>
      </c>
      <c r="I8" s="31">
        <v>14571</v>
      </c>
      <c r="J8" s="30"/>
      <c r="K8" s="26">
        <v>10830</v>
      </c>
      <c r="L8" s="26">
        <v>34612</v>
      </c>
      <c r="M8" s="31">
        <v>47558</v>
      </c>
      <c r="N8" s="30">
        <v>145694</v>
      </c>
      <c r="O8" s="26">
        <v>177470</v>
      </c>
      <c r="P8" s="26">
        <v>109556</v>
      </c>
      <c r="Q8" s="31">
        <v>1311500</v>
      </c>
      <c r="R8" s="30">
        <v>11290</v>
      </c>
      <c r="S8" s="26">
        <v>41068</v>
      </c>
      <c r="T8" s="26">
        <v>48148</v>
      </c>
      <c r="U8" s="31">
        <v>117216</v>
      </c>
      <c r="V8" s="30">
        <v>69655</v>
      </c>
      <c r="W8" s="26">
        <v>5259</v>
      </c>
      <c r="X8" s="26">
        <v>105569</v>
      </c>
      <c r="Y8" s="31">
        <v>51031</v>
      </c>
      <c r="Z8" s="30">
        <v>27071</v>
      </c>
      <c r="AA8" s="26">
        <v>21447</v>
      </c>
      <c r="AB8" s="26">
        <v>68275</v>
      </c>
      <c r="AC8" s="31">
        <v>120718</v>
      </c>
      <c r="AD8" s="30">
        <v>27835</v>
      </c>
      <c r="AE8" s="26">
        <v>27126</v>
      </c>
      <c r="AF8" s="26">
        <v>175395</v>
      </c>
      <c r="AG8" s="31">
        <v>373119</v>
      </c>
      <c r="AH8" s="30">
        <v>77467</v>
      </c>
      <c r="AI8" s="26">
        <v>10633</v>
      </c>
      <c r="AJ8" s="26">
        <v>95300</v>
      </c>
      <c r="AK8" s="31">
        <v>74132</v>
      </c>
      <c r="AL8" s="30">
        <v>3739</v>
      </c>
      <c r="AM8" s="26">
        <v>10356</v>
      </c>
      <c r="AN8" s="26">
        <v>29464</v>
      </c>
      <c r="AO8" s="31">
        <v>47291</v>
      </c>
      <c r="AP8" s="30">
        <v>919404</v>
      </c>
      <c r="AQ8" s="26">
        <v>380007</v>
      </c>
      <c r="AR8" s="26">
        <v>1169792</v>
      </c>
      <c r="AS8" s="31">
        <v>967032</v>
      </c>
      <c r="AT8" s="30">
        <v>1472038</v>
      </c>
      <c r="AU8" s="26">
        <v>1498962</v>
      </c>
      <c r="AV8" s="30">
        <v>3124457</v>
      </c>
      <c r="AW8" s="31">
        <v>3347767</v>
      </c>
      <c r="AX8" s="32">
        <v>12246</v>
      </c>
      <c r="AY8" s="33">
        <v>15558</v>
      </c>
      <c r="AZ8" s="33">
        <v>54251</v>
      </c>
      <c r="BA8" s="34">
        <v>74349</v>
      </c>
      <c r="BB8" s="30">
        <v>11144</v>
      </c>
      <c r="BC8" s="26">
        <v>23948</v>
      </c>
      <c r="BD8" s="26">
        <v>14366</v>
      </c>
      <c r="BE8" s="31">
        <v>27310</v>
      </c>
      <c r="BF8" s="30">
        <v>782</v>
      </c>
      <c r="BG8" s="26">
        <v>20142</v>
      </c>
      <c r="BH8" s="26">
        <v>1999</v>
      </c>
      <c r="BI8" s="31">
        <v>140875</v>
      </c>
      <c r="BJ8" s="30">
        <v>184639</v>
      </c>
      <c r="BK8" s="26">
        <v>70880</v>
      </c>
      <c r="BL8" s="26">
        <v>641513</v>
      </c>
      <c r="BM8" s="31">
        <v>487862</v>
      </c>
      <c r="BN8" s="30">
        <v>801</v>
      </c>
      <c r="BO8" s="26"/>
      <c r="BP8" s="26">
        <v>1183</v>
      </c>
      <c r="BQ8" s="31"/>
      <c r="BR8" s="30">
        <v>20032</v>
      </c>
      <c r="BS8" s="26">
        <v>112709</v>
      </c>
      <c r="BT8" s="26">
        <v>329319</v>
      </c>
      <c r="BU8" s="31">
        <v>578341</v>
      </c>
      <c r="BV8" s="333"/>
      <c r="BW8" s="26"/>
      <c r="BX8" s="26"/>
      <c r="BY8" s="31"/>
      <c r="BZ8" s="453">
        <v>341930</v>
      </c>
      <c r="CA8" s="448">
        <v>288966</v>
      </c>
      <c r="CB8" s="448">
        <v>964928</v>
      </c>
      <c r="CC8" s="454">
        <v>1111632</v>
      </c>
      <c r="CD8" s="36">
        <v>-2623</v>
      </c>
      <c r="CE8" s="37">
        <v>151655</v>
      </c>
      <c r="CF8" s="37">
        <v>239570</v>
      </c>
      <c r="CG8" s="38">
        <v>568413</v>
      </c>
      <c r="CH8" s="39">
        <v>10284</v>
      </c>
      <c r="CI8" s="40">
        <v>12608</v>
      </c>
      <c r="CJ8" s="40">
        <v>51067</v>
      </c>
      <c r="CK8" s="41">
        <v>37471</v>
      </c>
      <c r="CL8" s="30">
        <v>261562</v>
      </c>
      <c r="CM8" s="26">
        <v>102223</v>
      </c>
      <c r="CN8" s="26">
        <v>337091</v>
      </c>
      <c r="CO8" s="31">
        <v>389357</v>
      </c>
      <c r="CP8" s="20">
        <f t="shared" si="2"/>
        <v>3598199</v>
      </c>
      <c r="CQ8" s="19">
        <f t="shared" si="0"/>
        <v>3065512</v>
      </c>
      <c r="CR8" s="19">
        <f t="shared" si="0"/>
        <v>8142646</v>
      </c>
      <c r="CS8" s="644">
        <f t="shared" si="0"/>
        <v>10064024</v>
      </c>
      <c r="CT8" s="346">
        <v>9588</v>
      </c>
      <c r="CU8" s="40">
        <v>18690</v>
      </c>
      <c r="CV8" s="40">
        <v>125994</v>
      </c>
      <c r="CW8" s="41">
        <v>33922</v>
      </c>
      <c r="CX8" s="19">
        <f t="shared" si="3"/>
        <v>3607787</v>
      </c>
      <c r="CY8" s="19">
        <f t="shared" si="1"/>
        <v>3084202</v>
      </c>
      <c r="CZ8" s="19">
        <f t="shared" si="1"/>
        <v>8268640</v>
      </c>
      <c r="DA8" s="644">
        <f t="shared" si="1"/>
        <v>10097946</v>
      </c>
    </row>
    <row r="9" spans="1:105" ht="28.5">
      <c r="A9" s="443" t="s">
        <v>150</v>
      </c>
      <c r="B9" s="83">
        <v>-550</v>
      </c>
      <c r="C9" s="344">
        <v>-2</v>
      </c>
      <c r="D9" s="345">
        <v>-792</v>
      </c>
      <c r="E9" s="646">
        <v>-2</v>
      </c>
      <c r="F9" s="30"/>
      <c r="G9" s="26"/>
      <c r="H9" s="26"/>
      <c r="I9" s="31"/>
      <c r="J9" s="30">
        <v>-812</v>
      </c>
      <c r="K9" s="26">
        <v>-600</v>
      </c>
      <c r="L9" s="26">
        <v>-21735</v>
      </c>
      <c r="M9" s="31">
        <v>-705</v>
      </c>
      <c r="N9" s="30">
        <v>-108995</v>
      </c>
      <c r="O9" s="26">
        <v>-186685</v>
      </c>
      <c r="P9" s="26">
        <v>-563012</v>
      </c>
      <c r="Q9" s="31">
        <v>-461526</v>
      </c>
      <c r="R9" s="30">
        <v>-9744</v>
      </c>
      <c r="S9" s="26">
        <v>-6829</v>
      </c>
      <c r="T9" s="26">
        <v>-24834</v>
      </c>
      <c r="U9" s="31">
        <v>-11079</v>
      </c>
      <c r="V9" s="30"/>
      <c r="W9" s="26">
        <v>46</v>
      </c>
      <c r="X9" s="26"/>
      <c r="Y9" s="31">
        <v>756</v>
      </c>
      <c r="Z9" s="30">
        <v>-5598</v>
      </c>
      <c r="AA9" s="26">
        <v>-55</v>
      </c>
      <c r="AB9" s="26">
        <v>-9307</v>
      </c>
      <c r="AC9" s="31">
        <v>-3362</v>
      </c>
      <c r="AD9" s="30">
        <v>-21977</v>
      </c>
      <c r="AE9" s="26">
        <v>-40820</v>
      </c>
      <c r="AF9" s="26">
        <v>-248859</v>
      </c>
      <c r="AG9" s="31">
        <v>-78242</v>
      </c>
      <c r="AH9" s="30">
        <v>44250</v>
      </c>
      <c r="AI9" s="26"/>
      <c r="AJ9" s="26">
        <v>-4678</v>
      </c>
      <c r="AK9" s="31"/>
      <c r="AL9" s="30">
        <v>-3011</v>
      </c>
      <c r="AM9" s="26">
        <v>-1130</v>
      </c>
      <c r="AN9" s="26">
        <v>-9595</v>
      </c>
      <c r="AO9" s="31">
        <v>-7489</v>
      </c>
      <c r="AP9" s="30">
        <v>-21871</v>
      </c>
      <c r="AQ9" s="26"/>
      <c r="AR9" s="26">
        <v>-28457</v>
      </c>
      <c r="AS9" s="31">
        <v>-337766</v>
      </c>
      <c r="AT9" s="30">
        <v>-314485</v>
      </c>
      <c r="AU9" s="26">
        <v>-93865</v>
      </c>
      <c r="AV9" s="30">
        <v>-900876</v>
      </c>
      <c r="AW9" s="31">
        <v>-125521</v>
      </c>
      <c r="AX9" s="32">
        <v>-3792</v>
      </c>
      <c r="AY9" s="33">
        <v>-3244</v>
      </c>
      <c r="AZ9" s="33">
        <v>-21328</v>
      </c>
      <c r="BA9" s="34">
        <v>-12681</v>
      </c>
      <c r="BB9" s="30"/>
      <c r="BC9" s="26">
        <v>4</v>
      </c>
      <c r="BD9" s="26">
        <v>-6</v>
      </c>
      <c r="BE9" s="31">
        <v>-237</v>
      </c>
      <c r="BF9" s="30"/>
      <c r="BG9" s="26">
        <v>-5908</v>
      </c>
      <c r="BH9" s="26">
        <v>-6432</v>
      </c>
      <c r="BI9" s="31">
        <v>-14511</v>
      </c>
      <c r="BJ9" s="30">
        <v>-51</v>
      </c>
      <c r="BK9" s="26">
        <v>-2064</v>
      </c>
      <c r="BL9" s="26">
        <v>-58440</v>
      </c>
      <c r="BM9" s="31">
        <v>-26230</v>
      </c>
      <c r="BN9" s="30"/>
      <c r="BO9" s="26"/>
      <c r="BP9" s="26">
        <v>-1055</v>
      </c>
      <c r="BQ9" s="31"/>
      <c r="BR9" s="30">
        <v>-31005</v>
      </c>
      <c r="BS9" s="26">
        <v>-29584</v>
      </c>
      <c r="BT9" s="26">
        <v>-119551</v>
      </c>
      <c r="BU9" s="31">
        <v>-111044</v>
      </c>
      <c r="BV9" s="333"/>
      <c r="BW9" s="26"/>
      <c r="BX9" s="26"/>
      <c r="BY9" s="31"/>
      <c r="BZ9" s="453">
        <v>-31475</v>
      </c>
      <c r="CA9" s="448">
        <v>-39482</v>
      </c>
      <c r="CB9" s="448">
        <v>-62967</v>
      </c>
      <c r="CC9" s="454">
        <v>-87252</v>
      </c>
      <c r="CD9" s="36">
        <v>-145</v>
      </c>
      <c r="CE9" s="37">
        <v>-61220</v>
      </c>
      <c r="CF9" s="37">
        <v>-298695</v>
      </c>
      <c r="CG9" s="38">
        <v>-65657</v>
      </c>
      <c r="CH9" s="39">
        <v>-1681</v>
      </c>
      <c r="CI9" s="40">
        <v>-2028</v>
      </c>
      <c r="CJ9" s="40">
        <v>-24199</v>
      </c>
      <c r="CK9" s="41">
        <v>-9938</v>
      </c>
      <c r="CL9" s="30">
        <v>-80061</v>
      </c>
      <c r="CM9" s="26">
        <v>-57290</v>
      </c>
      <c r="CN9" s="26">
        <v>-134517</v>
      </c>
      <c r="CO9" s="31">
        <v>-92364</v>
      </c>
      <c r="CP9" s="20">
        <f t="shared" si="2"/>
        <v>-591003</v>
      </c>
      <c r="CQ9" s="19">
        <f t="shared" si="0"/>
        <v>-530756</v>
      </c>
      <c r="CR9" s="19">
        <f t="shared" si="0"/>
        <v>-2539335</v>
      </c>
      <c r="CS9" s="644">
        <f t="shared" si="0"/>
        <v>-1444850</v>
      </c>
      <c r="CT9" s="346">
        <v>-11960</v>
      </c>
      <c r="CU9" s="40">
        <v>-3560</v>
      </c>
      <c r="CV9" s="40">
        <v>-66661</v>
      </c>
      <c r="CW9" s="41">
        <v>-6148</v>
      </c>
      <c r="CX9" s="19">
        <f t="shared" si="3"/>
        <v>-602963</v>
      </c>
      <c r="CY9" s="19">
        <f t="shared" si="1"/>
        <v>-534316</v>
      </c>
      <c r="CZ9" s="19">
        <f t="shared" si="1"/>
        <v>-2605996</v>
      </c>
      <c r="DA9" s="644">
        <f t="shared" si="1"/>
        <v>-1450998</v>
      </c>
    </row>
    <row r="10" spans="1:105" ht="42.75">
      <c r="A10" s="443" t="s">
        <v>151</v>
      </c>
      <c r="B10" s="19"/>
      <c r="C10" s="18"/>
      <c r="D10" s="343"/>
      <c r="E10" s="645"/>
      <c r="F10" s="50">
        <v>9385</v>
      </c>
      <c r="G10" s="47">
        <v>1688</v>
      </c>
      <c r="H10" s="47">
        <v>28901</v>
      </c>
      <c r="I10" s="51">
        <v>2695</v>
      </c>
      <c r="J10" s="50"/>
      <c r="K10" s="47"/>
      <c r="L10" s="47"/>
      <c r="M10" s="51"/>
      <c r="N10" s="50">
        <v>-30331</v>
      </c>
      <c r="O10" s="47">
        <v>-46592</v>
      </c>
      <c r="P10" s="47">
        <v>-64680</v>
      </c>
      <c r="Q10" s="51">
        <v>-112132</v>
      </c>
      <c r="R10" s="50"/>
      <c r="S10" s="47"/>
      <c r="T10" s="47"/>
      <c r="U10" s="51"/>
      <c r="V10" s="50"/>
      <c r="W10" s="47"/>
      <c r="X10" s="47"/>
      <c r="Y10" s="51"/>
      <c r="Z10" s="50">
        <v>-6990</v>
      </c>
      <c r="AA10" s="47">
        <v>-9204</v>
      </c>
      <c r="AB10" s="47">
        <v>-33097</v>
      </c>
      <c r="AC10" s="51">
        <v>-35655</v>
      </c>
      <c r="AD10" s="50"/>
      <c r="AE10" s="47"/>
      <c r="AF10" s="47"/>
      <c r="AG10" s="51"/>
      <c r="AH10" s="50">
        <v>-44250</v>
      </c>
      <c r="AI10" s="47"/>
      <c r="AJ10" s="47">
        <v>-44250</v>
      </c>
      <c r="AK10" s="51"/>
      <c r="AL10" s="50"/>
      <c r="AM10" s="47"/>
      <c r="AN10" s="47"/>
      <c r="AO10" s="51"/>
      <c r="AP10" s="50">
        <v>-26132</v>
      </c>
      <c r="AQ10" s="47">
        <v>-23001</v>
      </c>
      <c r="AR10" s="47">
        <v>-106468</v>
      </c>
      <c r="AS10" s="51">
        <v>-77164</v>
      </c>
      <c r="AT10" s="50">
        <v>-31627</v>
      </c>
      <c r="AU10" s="47">
        <v>-23241</v>
      </c>
      <c r="AV10" s="50">
        <v>-54790</v>
      </c>
      <c r="AW10" s="51">
        <v>-19327</v>
      </c>
      <c r="AX10" s="32">
        <v>9131</v>
      </c>
      <c r="AY10" s="33">
        <v>8763</v>
      </c>
      <c r="AZ10" s="33">
        <v>29960</v>
      </c>
      <c r="BA10" s="34">
        <v>33033</v>
      </c>
      <c r="BB10" s="50">
        <v>5183</v>
      </c>
      <c r="BC10" s="47">
        <v>8989</v>
      </c>
      <c r="BD10" s="47">
        <v>64756</v>
      </c>
      <c r="BE10" s="51">
        <v>40171</v>
      </c>
      <c r="BF10" s="52"/>
      <c r="BG10" s="53"/>
      <c r="BH10" s="53"/>
      <c r="BI10" s="54"/>
      <c r="BJ10" s="50">
        <f>5943+538</f>
        <v>6481</v>
      </c>
      <c r="BK10" s="47">
        <f>-2894+3443</f>
        <v>549</v>
      </c>
      <c r="BL10" s="47">
        <f>9415+24670</f>
        <v>34085</v>
      </c>
      <c r="BM10" s="51">
        <f>-39200+5429</f>
        <v>-33771</v>
      </c>
      <c r="BN10" s="50"/>
      <c r="BO10" s="47"/>
      <c r="BP10" s="47"/>
      <c r="BQ10" s="51"/>
      <c r="BR10" s="50">
        <v>-2380</v>
      </c>
      <c r="BS10" s="47">
        <v>-4322</v>
      </c>
      <c r="BT10" s="47">
        <v>-5002</v>
      </c>
      <c r="BU10" s="51">
        <v>-7514</v>
      </c>
      <c r="BV10" s="333"/>
      <c r="BW10" s="26"/>
      <c r="BX10" s="26"/>
      <c r="BY10" s="31"/>
      <c r="BZ10" s="453">
        <v>55492</v>
      </c>
      <c r="CA10" s="448">
        <v>13647</v>
      </c>
      <c r="CB10" s="448">
        <v>112722</v>
      </c>
      <c r="CC10" s="454">
        <v>12174</v>
      </c>
      <c r="CD10" s="36">
        <v>-1218</v>
      </c>
      <c r="CE10" s="37">
        <v>-1610</v>
      </c>
      <c r="CF10" s="37">
        <v>-4800</v>
      </c>
      <c r="CG10" s="38">
        <v>-6412</v>
      </c>
      <c r="CH10" s="39"/>
      <c r="CI10" s="40"/>
      <c r="CJ10" s="40"/>
      <c r="CK10" s="41"/>
      <c r="CL10" s="50"/>
      <c r="CM10" s="47">
        <v>14734</v>
      </c>
      <c r="CN10" s="47"/>
      <c r="CO10" s="51">
        <v>14734</v>
      </c>
      <c r="CP10" s="20">
        <f t="shared" si="2"/>
        <v>-57256</v>
      </c>
      <c r="CQ10" s="19">
        <f t="shared" si="0"/>
        <v>-59600</v>
      </c>
      <c r="CR10" s="19">
        <f t="shared" si="0"/>
        <v>-42663</v>
      </c>
      <c r="CS10" s="644">
        <f t="shared" si="0"/>
        <v>-189168</v>
      </c>
      <c r="CT10" s="48"/>
      <c r="CU10" s="47"/>
      <c r="CV10" s="47"/>
      <c r="CW10" s="51"/>
      <c r="CX10" s="19">
        <f t="shared" si="3"/>
        <v>-57256</v>
      </c>
      <c r="CY10" s="19">
        <f t="shared" si="1"/>
        <v>-59600</v>
      </c>
      <c r="CZ10" s="19">
        <f t="shared" si="1"/>
        <v>-42663</v>
      </c>
      <c r="DA10" s="644">
        <f t="shared" si="1"/>
        <v>-189168</v>
      </c>
    </row>
    <row r="11" spans="1:105" ht="14.25">
      <c r="A11" s="443" t="s">
        <v>152</v>
      </c>
      <c r="B11" s="83"/>
      <c r="C11" s="344"/>
      <c r="D11" s="345"/>
      <c r="E11" s="646"/>
      <c r="F11" s="30"/>
      <c r="G11" s="26">
        <v>-559</v>
      </c>
      <c r="H11" s="26"/>
      <c r="I11" s="31"/>
      <c r="J11" s="30"/>
      <c r="K11" s="26"/>
      <c r="L11" s="26"/>
      <c r="M11" s="31"/>
      <c r="N11" s="30"/>
      <c r="O11" s="26"/>
      <c r="P11" s="26"/>
      <c r="Q11" s="31"/>
      <c r="R11" s="30"/>
      <c r="S11" s="26"/>
      <c r="T11" s="26"/>
      <c r="U11" s="31"/>
      <c r="V11" s="30"/>
      <c r="W11" s="26"/>
      <c r="X11" s="26"/>
      <c r="Y11" s="31"/>
      <c r="Z11" s="30"/>
      <c r="AA11" s="26"/>
      <c r="AB11" s="26"/>
      <c r="AC11" s="31"/>
      <c r="AD11" s="30">
        <v>-102</v>
      </c>
      <c r="AE11" s="26">
        <v>13301</v>
      </c>
      <c r="AF11" s="26">
        <v>15151</v>
      </c>
      <c r="AG11" s="31">
        <v>33654</v>
      </c>
      <c r="AH11" s="30"/>
      <c r="AI11" s="26"/>
      <c r="AJ11" s="26"/>
      <c r="AK11" s="31"/>
      <c r="AL11" s="30"/>
      <c r="AM11" s="26"/>
      <c r="AN11" s="26"/>
      <c r="AO11" s="31"/>
      <c r="AP11" s="30">
        <v>117630</v>
      </c>
      <c r="AQ11" s="26"/>
      <c r="AR11" s="26">
        <v>210799</v>
      </c>
      <c r="AS11" s="31">
        <v>130180</v>
      </c>
      <c r="AT11" s="30">
        <v>80646</v>
      </c>
      <c r="AU11" s="26">
        <v>42665</v>
      </c>
      <c r="AV11" s="30">
        <v>93100</v>
      </c>
      <c r="AW11" s="31">
        <v>50286</v>
      </c>
      <c r="AX11" s="30">
        <v>638</v>
      </c>
      <c r="AY11" s="26">
        <v>574</v>
      </c>
      <c r="AZ11" s="26">
        <v>2477</v>
      </c>
      <c r="BA11" s="31">
        <v>854</v>
      </c>
      <c r="BB11" s="30">
        <v>6280</v>
      </c>
      <c r="BC11" s="26">
        <v>1515</v>
      </c>
      <c r="BD11" s="26">
        <v>12552</v>
      </c>
      <c r="BE11" s="31">
        <v>6861</v>
      </c>
      <c r="BF11" s="30"/>
      <c r="BG11" s="26"/>
      <c r="BH11" s="26"/>
      <c r="BI11" s="31"/>
      <c r="BJ11" s="30">
        <v>-25000</v>
      </c>
      <c r="BK11" s="26"/>
      <c r="BL11" s="26">
        <v>-50000</v>
      </c>
      <c r="BM11" s="31"/>
      <c r="BN11" s="30"/>
      <c r="BO11" s="26"/>
      <c r="BP11" s="26"/>
      <c r="BQ11" s="31"/>
      <c r="BR11" s="30"/>
      <c r="BS11" s="26"/>
      <c r="BT11" s="26"/>
      <c r="BU11" s="31"/>
      <c r="BV11" s="333"/>
      <c r="BW11" s="26"/>
      <c r="BX11" s="26"/>
      <c r="BY11" s="31"/>
      <c r="BZ11" s="453">
        <v>29144</v>
      </c>
      <c r="CA11" s="448">
        <v>25354</v>
      </c>
      <c r="CB11" s="448">
        <v>135414</v>
      </c>
      <c r="CC11" s="454">
        <v>114653</v>
      </c>
      <c r="CD11" s="36">
        <v>6721</v>
      </c>
      <c r="CE11" s="37">
        <v>730</v>
      </c>
      <c r="CF11" s="37">
        <v>6951</v>
      </c>
      <c r="CG11" s="38">
        <v>2757</v>
      </c>
      <c r="CH11" s="39">
        <v>9</v>
      </c>
      <c r="CI11" s="40">
        <v>20</v>
      </c>
      <c r="CJ11" s="40">
        <v>36</v>
      </c>
      <c r="CK11" s="41">
        <v>52</v>
      </c>
      <c r="CL11" s="30"/>
      <c r="CM11" s="26"/>
      <c r="CN11" s="26"/>
      <c r="CO11" s="31"/>
      <c r="CP11" s="20">
        <f t="shared" si="2"/>
        <v>215966</v>
      </c>
      <c r="CQ11" s="19">
        <f t="shared" si="0"/>
        <v>83600</v>
      </c>
      <c r="CR11" s="19">
        <f t="shared" si="0"/>
        <v>426480</v>
      </c>
      <c r="CS11" s="644">
        <f t="shared" si="0"/>
        <v>339297</v>
      </c>
      <c r="CT11" s="346"/>
      <c r="CU11" s="40"/>
      <c r="CV11" s="40"/>
      <c r="CW11" s="41"/>
      <c r="CX11" s="19">
        <f t="shared" si="3"/>
        <v>215966</v>
      </c>
      <c r="CY11" s="19">
        <f t="shared" si="1"/>
        <v>83600</v>
      </c>
      <c r="CZ11" s="19">
        <f t="shared" si="1"/>
        <v>426480</v>
      </c>
      <c r="DA11" s="644">
        <f t="shared" si="1"/>
        <v>339297</v>
      </c>
    </row>
    <row r="12" spans="1:105" s="977" customFormat="1" ht="14.25">
      <c r="A12" s="971" t="s">
        <v>451</v>
      </c>
      <c r="B12" s="978">
        <f>SUM(B5:B11)</f>
        <v>1628746</v>
      </c>
      <c r="C12" s="979">
        <f>SUM(C5:C11)</f>
        <v>2044866</v>
      </c>
      <c r="D12" s="979">
        <f aca="true" t="shared" si="4" ref="D12:BO12">SUM(D5:D11)</f>
        <v>4068841</v>
      </c>
      <c r="E12" s="980">
        <f t="shared" si="4"/>
        <v>4306894</v>
      </c>
      <c r="F12" s="981">
        <f t="shared" si="4"/>
        <v>48436</v>
      </c>
      <c r="G12" s="979">
        <f t="shared" si="4"/>
        <v>43264</v>
      </c>
      <c r="H12" s="979">
        <f t="shared" si="4"/>
        <v>108834</v>
      </c>
      <c r="I12" s="980">
        <f t="shared" si="4"/>
        <v>84776</v>
      </c>
      <c r="J12" s="981">
        <f t="shared" si="4"/>
        <v>1342739</v>
      </c>
      <c r="K12" s="979">
        <f t="shared" si="4"/>
        <v>375927</v>
      </c>
      <c r="L12" s="979">
        <f t="shared" si="4"/>
        <v>1732435</v>
      </c>
      <c r="M12" s="980">
        <f t="shared" si="4"/>
        <v>829629</v>
      </c>
      <c r="N12" s="981">
        <f t="shared" si="4"/>
        <v>4921319</v>
      </c>
      <c r="O12" s="979">
        <f t="shared" si="4"/>
        <v>3437896</v>
      </c>
      <c r="P12" s="979">
        <f t="shared" si="4"/>
        <v>10485663</v>
      </c>
      <c r="Q12" s="980">
        <f t="shared" si="4"/>
        <v>10143674</v>
      </c>
      <c r="R12" s="981">
        <f t="shared" si="4"/>
        <v>2652245</v>
      </c>
      <c r="S12" s="979">
        <f t="shared" si="4"/>
        <v>2325752</v>
      </c>
      <c r="T12" s="979">
        <f t="shared" si="4"/>
        <v>2187999</v>
      </c>
      <c r="U12" s="980">
        <f t="shared" si="4"/>
        <v>1749109</v>
      </c>
      <c r="V12" s="981">
        <f t="shared" si="4"/>
        <v>1684193</v>
      </c>
      <c r="W12" s="979">
        <f t="shared" si="4"/>
        <v>1327515</v>
      </c>
      <c r="X12" s="979">
        <f t="shared" si="4"/>
        <v>2220616</v>
      </c>
      <c r="Y12" s="980">
        <f t="shared" si="4"/>
        <v>1791657</v>
      </c>
      <c r="Z12" s="981">
        <f t="shared" si="4"/>
        <v>394777</v>
      </c>
      <c r="AA12" s="979">
        <f t="shared" si="4"/>
        <v>1063982</v>
      </c>
      <c r="AB12" s="979">
        <f t="shared" si="4"/>
        <v>3717212</v>
      </c>
      <c r="AC12" s="980">
        <f t="shared" si="4"/>
        <v>4131591</v>
      </c>
      <c r="AD12" s="981">
        <f t="shared" si="4"/>
        <v>247754</v>
      </c>
      <c r="AE12" s="979">
        <f t="shared" si="4"/>
        <v>185435</v>
      </c>
      <c r="AF12" s="979">
        <f t="shared" si="4"/>
        <v>758425</v>
      </c>
      <c r="AG12" s="980">
        <f t="shared" si="4"/>
        <v>810518</v>
      </c>
      <c r="AH12" s="981">
        <f t="shared" si="4"/>
        <v>1349171</v>
      </c>
      <c r="AI12" s="979">
        <f t="shared" si="4"/>
        <v>1223955</v>
      </c>
      <c r="AJ12" s="979">
        <f t="shared" si="4"/>
        <v>1818413</v>
      </c>
      <c r="AK12" s="980">
        <f t="shared" si="4"/>
        <v>1719992</v>
      </c>
      <c r="AL12" s="981">
        <f t="shared" si="4"/>
        <v>1420256</v>
      </c>
      <c r="AM12" s="979">
        <f t="shared" si="4"/>
        <v>97359</v>
      </c>
      <c r="AN12" s="979">
        <f t="shared" si="4"/>
        <v>1588012</v>
      </c>
      <c r="AO12" s="980">
        <f t="shared" si="4"/>
        <v>246627</v>
      </c>
      <c r="AP12" s="981">
        <f t="shared" si="4"/>
        <v>6605022</v>
      </c>
      <c r="AQ12" s="979">
        <f t="shared" si="4"/>
        <v>4938636</v>
      </c>
      <c r="AR12" s="979">
        <f t="shared" si="4"/>
        <v>5563728</v>
      </c>
      <c r="AS12" s="980">
        <f t="shared" si="4"/>
        <v>12954807</v>
      </c>
      <c r="AT12" s="981">
        <f t="shared" si="4"/>
        <v>6467326</v>
      </c>
      <c r="AU12" s="979">
        <f t="shared" si="4"/>
        <v>4487642</v>
      </c>
      <c r="AV12" s="981">
        <f>SUM(AV5:AV11)</f>
        <v>17306522</v>
      </c>
      <c r="AW12" s="980">
        <f t="shared" si="4"/>
        <v>18361511</v>
      </c>
      <c r="AX12" s="981">
        <f t="shared" si="4"/>
        <v>1162260</v>
      </c>
      <c r="AY12" s="979">
        <f t="shared" si="4"/>
        <v>765939</v>
      </c>
      <c r="AZ12" s="979">
        <f t="shared" si="4"/>
        <v>1510038</v>
      </c>
      <c r="BA12" s="980">
        <f t="shared" si="4"/>
        <v>4084125</v>
      </c>
      <c r="BB12" s="981">
        <f t="shared" si="4"/>
        <v>1234179</v>
      </c>
      <c r="BC12" s="979">
        <f t="shared" si="4"/>
        <v>593066</v>
      </c>
      <c r="BD12" s="979">
        <f t="shared" si="4"/>
        <v>1930868</v>
      </c>
      <c r="BE12" s="980">
        <f t="shared" si="4"/>
        <v>1105283</v>
      </c>
      <c r="BF12" s="981">
        <f t="shared" si="4"/>
        <v>4298663</v>
      </c>
      <c r="BG12" s="979">
        <f t="shared" si="4"/>
        <v>3297178</v>
      </c>
      <c r="BH12" s="979">
        <f t="shared" si="4"/>
        <v>5546481</v>
      </c>
      <c r="BI12" s="980">
        <f t="shared" si="4"/>
        <v>4486500</v>
      </c>
      <c r="BJ12" s="981">
        <f t="shared" si="4"/>
        <v>2664468</v>
      </c>
      <c r="BK12" s="979">
        <f t="shared" si="4"/>
        <v>2302166</v>
      </c>
      <c r="BL12" s="979">
        <f t="shared" si="4"/>
        <v>6603913</v>
      </c>
      <c r="BM12" s="980">
        <f t="shared" si="4"/>
        <v>6175499</v>
      </c>
      <c r="BN12" s="981">
        <f t="shared" si="4"/>
        <v>1157327</v>
      </c>
      <c r="BO12" s="979">
        <f t="shared" si="4"/>
        <v>549421</v>
      </c>
      <c r="BP12" s="979">
        <f aca="true" t="shared" si="5" ref="BP12:CW12">SUM(BP5:BP11)</f>
        <v>2387259</v>
      </c>
      <c r="BQ12" s="980">
        <f t="shared" si="5"/>
        <v>1998863</v>
      </c>
      <c r="BR12" s="981">
        <f t="shared" si="5"/>
        <v>1706874</v>
      </c>
      <c r="BS12" s="979">
        <f t="shared" si="5"/>
        <v>1611735</v>
      </c>
      <c r="BT12" s="979">
        <f t="shared" si="5"/>
        <v>2617597</v>
      </c>
      <c r="BU12" s="980">
        <f t="shared" si="5"/>
        <v>2641576</v>
      </c>
      <c r="BV12" s="981">
        <f t="shared" si="5"/>
        <v>0</v>
      </c>
      <c r="BW12" s="979">
        <f t="shared" si="5"/>
        <v>0</v>
      </c>
      <c r="BX12" s="979">
        <f t="shared" si="5"/>
        <v>0</v>
      </c>
      <c r="BY12" s="980">
        <f t="shared" si="5"/>
        <v>0</v>
      </c>
      <c r="BZ12" s="978">
        <f t="shared" si="5"/>
        <v>5899475</v>
      </c>
      <c r="CA12" s="979">
        <f t="shared" si="5"/>
        <v>4724130</v>
      </c>
      <c r="CB12" s="979">
        <f t="shared" si="5"/>
        <v>15176978</v>
      </c>
      <c r="CC12" s="980">
        <f t="shared" si="5"/>
        <v>12929319</v>
      </c>
      <c r="CD12" s="981">
        <f t="shared" si="5"/>
        <v>1173359</v>
      </c>
      <c r="CE12" s="979">
        <f t="shared" si="5"/>
        <v>737614</v>
      </c>
      <c r="CF12" s="979">
        <f t="shared" si="5"/>
        <v>159673</v>
      </c>
      <c r="CG12" s="980">
        <f t="shared" si="5"/>
        <v>1299671</v>
      </c>
      <c r="CH12" s="981">
        <f t="shared" si="5"/>
        <v>542410</v>
      </c>
      <c r="CI12" s="979">
        <f t="shared" si="5"/>
        <v>706892</v>
      </c>
      <c r="CJ12" s="979">
        <f t="shared" si="5"/>
        <v>1346455</v>
      </c>
      <c r="CK12" s="980">
        <f t="shared" si="5"/>
        <v>1046170</v>
      </c>
      <c r="CL12" s="981">
        <f t="shared" si="5"/>
        <v>1339872</v>
      </c>
      <c r="CM12" s="979">
        <f t="shared" si="5"/>
        <v>1863075</v>
      </c>
      <c r="CN12" s="979">
        <f t="shared" si="5"/>
        <v>2515322</v>
      </c>
      <c r="CO12" s="980">
        <f t="shared" si="5"/>
        <v>3409027</v>
      </c>
      <c r="CP12" s="975">
        <f t="shared" si="2"/>
        <v>49940871</v>
      </c>
      <c r="CQ12" s="972">
        <f t="shared" si="0"/>
        <v>38703445</v>
      </c>
      <c r="CR12" s="972">
        <f t="shared" si="0"/>
        <v>91351284</v>
      </c>
      <c r="CS12" s="976">
        <f t="shared" si="0"/>
        <v>96306818</v>
      </c>
      <c r="CT12" s="978">
        <f t="shared" si="5"/>
        <v>26647807</v>
      </c>
      <c r="CU12" s="979">
        <f t="shared" si="5"/>
        <v>24276924</v>
      </c>
      <c r="CV12" s="979">
        <f t="shared" si="5"/>
        <v>27039040</v>
      </c>
      <c r="CW12" s="980">
        <f t="shared" si="5"/>
        <v>24598133</v>
      </c>
      <c r="CX12" s="972">
        <f t="shared" si="3"/>
        <v>76588678</v>
      </c>
      <c r="CY12" s="972">
        <f t="shared" si="1"/>
        <v>62980369</v>
      </c>
      <c r="CZ12" s="972">
        <f t="shared" si="1"/>
        <v>118390324</v>
      </c>
      <c r="DA12" s="976">
        <f t="shared" si="1"/>
        <v>120904951</v>
      </c>
    </row>
    <row r="13" spans="1:105" ht="42.75">
      <c r="A13" s="443" t="s">
        <v>153</v>
      </c>
      <c r="B13" s="83">
        <v>1000995</v>
      </c>
      <c r="C13" s="344">
        <v>1169882</v>
      </c>
      <c r="D13" s="345">
        <v>1391803</v>
      </c>
      <c r="E13" s="646">
        <v>1540622</v>
      </c>
      <c r="F13" s="30">
        <v>-207208</v>
      </c>
      <c r="G13" s="26">
        <v>-54430</v>
      </c>
      <c r="H13" s="26">
        <v>705493</v>
      </c>
      <c r="I13" s="31">
        <v>552522</v>
      </c>
      <c r="J13" s="30">
        <v>1048107</v>
      </c>
      <c r="K13" s="26">
        <v>1097999</v>
      </c>
      <c r="L13" s="26">
        <v>1098413</v>
      </c>
      <c r="M13" s="31">
        <v>1137926</v>
      </c>
      <c r="N13" s="30">
        <v>201084</v>
      </c>
      <c r="O13" s="26">
        <v>192541</v>
      </c>
      <c r="P13" s="26">
        <v>466530</v>
      </c>
      <c r="Q13" s="31">
        <v>503059</v>
      </c>
      <c r="R13" s="30">
        <v>2524011</v>
      </c>
      <c r="S13" s="26">
        <v>2221206</v>
      </c>
      <c r="T13" s="26">
        <v>2586562</v>
      </c>
      <c r="U13" s="31">
        <v>2476381</v>
      </c>
      <c r="V13" s="30">
        <v>24453</v>
      </c>
      <c r="W13" s="26">
        <v>19112</v>
      </c>
      <c r="X13" s="26">
        <v>87163</v>
      </c>
      <c r="Y13" s="31">
        <v>67557</v>
      </c>
      <c r="Z13" s="30">
        <v>160876</v>
      </c>
      <c r="AA13" s="26">
        <v>582691</v>
      </c>
      <c r="AB13" s="26">
        <v>1074408</v>
      </c>
      <c r="AC13" s="31">
        <v>955422</v>
      </c>
      <c r="AD13" s="30">
        <v>326559</v>
      </c>
      <c r="AE13" s="26">
        <v>1606084</v>
      </c>
      <c r="AF13" s="26">
        <v>2050794</v>
      </c>
      <c r="AG13" s="31">
        <v>1623699</v>
      </c>
      <c r="AH13" s="30">
        <v>10140</v>
      </c>
      <c r="AI13" s="26">
        <v>9099</v>
      </c>
      <c r="AJ13" s="26">
        <v>44247</v>
      </c>
      <c r="AK13" s="31">
        <v>36223</v>
      </c>
      <c r="AL13" s="30">
        <v>2885402</v>
      </c>
      <c r="AM13" s="26">
        <v>27599</v>
      </c>
      <c r="AN13" s="26">
        <v>2906889</v>
      </c>
      <c r="AO13" s="31">
        <v>55254</v>
      </c>
      <c r="AP13" s="30">
        <v>180060</v>
      </c>
      <c r="AQ13" s="26">
        <v>6297</v>
      </c>
      <c r="AR13" s="26">
        <v>278059</v>
      </c>
      <c r="AS13" s="31">
        <v>125411</v>
      </c>
      <c r="AT13" s="30">
        <v>114923</v>
      </c>
      <c r="AU13" s="26">
        <v>124589</v>
      </c>
      <c r="AV13" s="30">
        <v>422049</v>
      </c>
      <c r="AW13" s="31">
        <v>419756</v>
      </c>
      <c r="AX13" s="30">
        <v>18046</v>
      </c>
      <c r="AY13" s="26">
        <v>47209</v>
      </c>
      <c r="AZ13" s="26">
        <v>75367</v>
      </c>
      <c r="BA13" s="31">
        <v>74700</v>
      </c>
      <c r="BB13" s="30">
        <v>47966</v>
      </c>
      <c r="BC13" s="26">
        <v>66936</v>
      </c>
      <c r="BD13" s="26">
        <v>149930</v>
      </c>
      <c r="BE13" s="31">
        <v>133664</v>
      </c>
      <c r="BF13" s="30">
        <v>14195</v>
      </c>
      <c r="BG13" s="26">
        <v>48013</v>
      </c>
      <c r="BH13" s="26">
        <v>41123</v>
      </c>
      <c r="BI13" s="31">
        <v>78220</v>
      </c>
      <c r="BJ13" s="30"/>
      <c r="BK13" s="26"/>
      <c r="BL13" s="26"/>
      <c r="BM13" s="31"/>
      <c r="BN13" s="30">
        <v>48397</v>
      </c>
      <c r="BO13" s="26">
        <v>38984</v>
      </c>
      <c r="BP13" s="26">
        <v>113659</v>
      </c>
      <c r="BQ13" s="31">
        <v>97631</v>
      </c>
      <c r="BR13" s="30">
        <v>42774</v>
      </c>
      <c r="BS13" s="26">
        <v>86841</v>
      </c>
      <c r="BT13" s="26">
        <v>346139</v>
      </c>
      <c r="BU13" s="31">
        <v>187182</v>
      </c>
      <c r="BV13" s="333"/>
      <c r="BW13" s="26"/>
      <c r="BX13" s="26"/>
      <c r="BY13" s="31"/>
      <c r="BZ13" s="451"/>
      <c r="CA13" s="447"/>
      <c r="CB13" s="447"/>
      <c r="CC13" s="452"/>
      <c r="CD13" s="36">
        <v>663343</v>
      </c>
      <c r="CE13" s="37">
        <v>36772</v>
      </c>
      <c r="CF13" s="37">
        <v>670498</v>
      </c>
      <c r="CG13" s="38">
        <v>347105</v>
      </c>
      <c r="CH13" s="39">
        <v>34651</v>
      </c>
      <c r="CI13" s="40">
        <v>101317</v>
      </c>
      <c r="CJ13" s="40">
        <v>99614</v>
      </c>
      <c r="CK13" s="41">
        <v>152303</v>
      </c>
      <c r="CL13" s="30">
        <v>33132</v>
      </c>
      <c r="CM13" s="26">
        <v>26945</v>
      </c>
      <c r="CN13" s="26">
        <v>87977</v>
      </c>
      <c r="CO13" s="31">
        <v>107280</v>
      </c>
      <c r="CP13" s="20">
        <f t="shared" si="2"/>
        <v>9171906</v>
      </c>
      <c r="CQ13" s="19">
        <f t="shared" si="0"/>
        <v>7455686</v>
      </c>
      <c r="CR13" s="19">
        <f t="shared" si="0"/>
        <v>14696717</v>
      </c>
      <c r="CS13" s="644">
        <f t="shared" si="0"/>
        <v>10671917</v>
      </c>
      <c r="CT13" s="346">
        <v>1025</v>
      </c>
      <c r="CU13" s="40">
        <v>1056</v>
      </c>
      <c r="CV13" s="40">
        <v>4206</v>
      </c>
      <c r="CW13" s="41">
        <v>3977</v>
      </c>
      <c r="CX13" s="19">
        <f t="shared" si="3"/>
        <v>9172931</v>
      </c>
      <c r="CY13" s="19">
        <f t="shared" si="1"/>
        <v>7456742</v>
      </c>
      <c r="CZ13" s="19">
        <f t="shared" si="1"/>
        <v>14700923</v>
      </c>
      <c r="DA13" s="644">
        <f t="shared" si="1"/>
        <v>10675894</v>
      </c>
    </row>
    <row r="14" spans="1:105" ht="14.25">
      <c r="A14" s="443" t="s">
        <v>154</v>
      </c>
      <c r="B14" s="83"/>
      <c r="C14" s="344"/>
      <c r="D14" s="345"/>
      <c r="E14" s="646"/>
      <c r="F14" s="30"/>
      <c r="G14" s="26"/>
      <c r="H14" s="26"/>
      <c r="I14" s="31"/>
      <c r="J14" s="30"/>
      <c r="K14" s="468"/>
      <c r="L14" s="26"/>
      <c r="M14" s="31"/>
      <c r="N14" s="30"/>
      <c r="O14" s="26"/>
      <c r="P14" s="26"/>
      <c r="Q14" s="31"/>
      <c r="R14" s="30"/>
      <c r="S14" s="26"/>
      <c r="T14" s="26"/>
      <c r="U14" s="31"/>
      <c r="V14" s="30"/>
      <c r="W14" s="26"/>
      <c r="X14" s="26"/>
      <c r="Y14" s="31"/>
      <c r="Z14" s="30"/>
      <c r="AA14" s="26"/>
      <c r="AB14" s="26"/>
      <c r="AC14" s="31"/>
      <c r="AD14" s="30"/>
      <c r="AE14" s="26"/>
      <c r="AF14" s="26"/>
      <c r="AG14" s="31"/>
      <c r="AH14" s="30"/>
      <c r="AI14" s="26"/>
      <c r="AJ14" s="26"/>
      <c r="AK14" s="31"/>
      <c r="AL14" s="30"/>
      <c r="AM14" s="26"/>
      <c r="AN14" s="26"/>
      <c r="AO14" s="31"/>
      <c r="AP14" s="30"/>
      <c r="AQ14" s="26"/>
      <c r="AR14" s="26"/>
      <c r="AS14" s="31"/>
      <c r="AT14" s="30"/>
      <c r="AU14" s="26"/>
      <c r="AV14" s="30"/>
      <c r="AW14" s="31"/>
      <c r="AX14" s="30"/>
      <c r="AY14" s="26"/>
      <c r="AZ14" s="26"/>
      <c r="BA14" s="31"/>
      <c r="BB14" s="30"/>
      <c r="BC14" s="26"/>
      <c r="BD14" s="26"/>
      <c r="BE14" s="31"/>
      <c r="BF14" s="30"/>
      <c r="BG14" s="26"/>
      <c r="BH14" s="26"/>
      <c r="BI14" s="31"/>
      <c r="BJ14" s="30"/>
      <c r="BK14" s="26"/>
      <c r="BL14" s="26"/>
      <c r="BM14" s="31"/>
      <c r="BN14" s="30"/>
      <c r="BO14" s="26"/>
      <c r="BP14" s="26"/>
      <c r="BQ14" s="31"/>
      <c r="BR14" s="30"/>
      <c r="BS14" s="26"/>
      <c r="BT14" s="26"/>
      <c r="BU14" s="31"/>
      <c r="BV14" s="333"/>
      <c r="BW14" s="26"/>
      <c r="BX14" s="26"/>
      <c r="BY14" s="31"/>
      <c r="BZ14" s="455"/>
      <c r="CA14" s="449"/>
      <c r="CB14" s="449"/>
      <c r="CC14" s="456"/>
      <c r="CD14" s="36"/>
      <c r="CE14" s="37"/>
      <c r="CF14" s="37"/>
      <c r="CG14" s="38"/>
      <c r="CH14" s="39"/>
      <c r="CI14" s="40"/>
      <c r="CJ14" s="40"/>
      <c r="CK14" s="41"/>
      <c r="CL14" s="30"/>
      <c r="CM14" s="26"/>
      <c r="CN14" s="26"/>
      <c r="CO14" s="31"/>
      <c r="CP14" s="20">
        <f t="shared" si="2"/>
        <v>0</v>
      </c>
      <c r="CQ14" s="19">
        <f t="shared" si="0"/>
        <v>0</v>
      </c>
      <c r="CR14" s="19">
        <f t="shared" si="0"/>
        <v>0</v>
      </c>
      <c r="CS14" s="644">
        <f t="shared" si="0"/>
        <v>0</v>
      </c>
      <c r="CT14" s="346"/>
      <c r="CU14" s="40"/>
      <c r="CV14" s="40"/>
      <c r="CW14" s="41"/>
      <c r="CX14" s="19">
        <f t="shared" si="3"/>
        <v>0</v>
      </c>
      <c r="CY14" s="19">
        <f t="shared" si="1"/>
        <v>0</v>
      </c>
      <c r="CZ14" s="19">
        <f t="shared" si="1"/>
        <v>0</v>
      </c>
      <c r="DA14" s="644">
        <f t="shared" si="1"/>
        <v>0</v>
      </c>
    </row>
    <row r="15" spans="1:105" ht="14.25">
      <c r="A15" s="443" t="s">
        <v>155</v>
      </c>
      <c r="B15" s="19"/>
      <c r="C15" s="18"/>
      <c r="D15" s="343"/>
      <c r="E15" s="645"/>
      <c r="F15" s="50"/>
      <c r="G15" s="47"/>
      <c r="H15" s="47"/>
      <c r="I15" s="51"/>
      <c r="J15" s="50"/>
      <c r="K15" s="47"/>
      <c r="L15" s="47"/>
      <c r="M15" s="51"/>
      <c r="N15" s="50"/>
      <c r="O15" s="47"/>
      <c r="P15" s="47"/>
      <c r="Q15" s="51"/>
      <c r="R15" s="50"/>
      <c r="S15" s="47"/>
      <c r="T15" s="47"/>
      <c r="U15" s="51"/>
      <c r="V15" s="50"/>
      <c r="W15" s="47"/>
      <c r="X15" s="47"/>
      <c r="Y15" s="51"/>
      <c r="Z15" s="50"/>
      <c r="AA15" s="47"/>
      <c r="AB15" s="47"/>
      <c r="AC15" s="51"/>
      <c r="AD15" s="50"/>
      <c r="AE15" s="47"/>
      <c r="AF15" s="47"/>
      <c r="AG15" s="51"/>
      <c r="AH15" s="50"/>
      <c r="AI15" s="47"/>
      <c r="AJ15" s="47"/>
      <c r="AK15" s="51"/>
      <c r="AL15" s="50"/>
      <c r="AM15" s="47"/>
      <c r="AN15" s="47"/>
      <c r="AO15" s="51"/>
      <c r="AP15" s="50"/>
      <c r="AQ15" s="47"/>
      <c r="AR15" s="47"/>
      <c r="AS15" s="51"/>
      <c r="AT15" s="50"/>
      <c r="AU15" s="47"/>
      <c r="AV15" s="50"/>
      <c r="AW15" s="51"/>
      <c r="AX15" s="32"/>
      <c r="AY15" s="33"/>
      <c r="AZ15" s="33"/>
      <c r="BA15" s="34"/>
      <c r="BB15" s="50"/>
      <c r="BC15" s="47"/>
      <c r="BD15" s="47"/>
      <c r="BE15" s="51"/>
      <c r="BF15" s="52"/>
      <c r="BG15" s="53"/>
      <c r="BH15" s="53"/>
      <c r="BI15" s="54"/>
      <c r="BJ15" s="50"/>
      <c r="BK15" s="47"/>
      <c r="BL15" s="47"/>
      <c r="BM15" s="51"/>
      <c r="BN15" s="50"/>
      <c r="BO15" s="47"/>
      <c r="BP15" s="47"/>
      <c r="BQ15" s="51"/>
      <c r="BR15" s="50"/>
      <c r="BS15" s="47"/>
      <c r="BT15" s="47"/>
      <c r="BU15" s="51"/>
      <c r="BV15" s="333"/>
      <c r="BW15" s="26"/>
      <c r="BX15" s="26"/>
      <c r="BY15" s="31"/>
      <c r="BZ15" s="453">
        <v>2100</v>
      </c>
      <c r="CA15" s="448">
        <v>1485</v>
      </c>
      <c r="CB15" s="448">
        <v>4475</v>
      </c>
      <c r="CC15" s="454">
        <v>3797</v>
      </c>
      <c r="CD15" s="36"/>
      <c r="CE15" s="37"/>
      <c r="CF15" s="37"/>
      <c r="CG15" s="38"/>
      <c r="CH15" s="39"/>
      <c r="CI15" s="40"/>
      <c r="CJ15" s="40"/>
      <c r="CK15" s="41"/>
      <c r="CL15" s="50"/>
      <c r="CM15" s="47"/>
      <c r="CN15" s="47"/>
      <c r="CO15" s="51"/>
      <c r="CP15" s="20">
        <f t="shared" si="2"/>
        <v>2100</v>
      </c>
      <c r="CQ15" s="19">
        <f t="shared" si="0"/>
        <v>1485</v>
      </c>
      <c r="CR15" s="19">
        <f t="shared" si="0"/>
        <v>4475</v>
      </c>
      <c r="CS15" s="644">
        <f t="shared" si="0"/>
        <v>3797</v>
      </c>
      <c r="CT15" s="48"/>
      <c r="CU15" s="47"/>
      <c r="CV15" s="47"/>
      <c r="CW15" s="51"/>
      <c r="CX15" s="19">
        <f t="shared" si="3"/>
        <v>2100</v>
      </c>
      <c r="CY15" s="19">
        <f t="shared" si="1"/>
        <v>1485</v>
      </c>
      <c r="CZ15" s="19">
        <f t="shared" si="1"/>
        <v>4475</v>
      </c>
      <c r="DA15" s="644">
        <f t="shared" si="1"/>
        <v>3797</v>
      </c>
    </row>
    <row r="16" spans="1:105" ht="28.5">
      <c r="A16" s="443" t="s">
        <v>156</v>
      </c>
      <c r="B16" s="83"/>
      <c r="C16" s="344"/>
      <c r="D16" s="345"/>
      <c r="E16" s="646"/>
      <c r="F16" s="30"/>
      <c r="G16" s="26"/>
      <c r="H16" s="26"/>
      <c r="I16" s="31"/>
      <c r="J16" s="30"/>
      <c r="K16" s="26"/>
      <c r="L16" s="26"/>
      <c r="M16" s="31"/>
      <c r="N16" s="30"/>
      <c r="O16" s="26"/>
      <c r="P16" s="26"/>
      <c r="Q16" s="31"/>
      <c r="R16" s="30"/>
      <c r="S16" s="26"/>
      <c r="T16" s="26"/>
      <c r="U16" s="31"/>
      <c r="V16" s="30"/>
      <c r="W16" s="26"/>
      <c r="X16" s="26"/>
      <c r="Y16" s="31"/>
      <c r="Z16" s="30"/>
      <c r="AA16" s="26"/>
      <c r="AB16" s="26"/>
      <c r="AC16" s="31"/>
      <c r="AD16" s="30"/>
      <c r="AE16" s="26"/>
      <c r="AF16" s="26"/>
      <c r="AG16" s="31"/>
      <c r="AH16" s="30"/>
      <c r="AI16" s="26"/>
      <c r="AJ16" s="26"/>
      <c r="AK16" s="31"/>
      <c r="AL16" s="30"/>
      <c r="AM16" s="26"/>
      <c r="AN16" s="26"/>
      <c r="AO16" s="31"/>
      <c r="AP16" s="30"/>
      <c r="AQ16" s="26"/>
      <c r="AR16" s="26"/>
      <c r="AS16" s="31"/>
      <c r="AT16" s="30"/>
      <c r="AU16" s="26"/>
      <c r="AV16" s="30"/>
      <c r="AW16" s="31"/>
      <c r="AX16" s="32"/>
      <c r="AY16" s="33"/>
      <c r="AZ16" s="33"/>
      <c r="BA16" s="34"/>
      <c r="BB16" s="30"/>
      <c r="BC16" s="26"/>
      <c r="BD16" s="26"/>
      <c r="BE16" s="31"/>
      <c r="BF16" s="30"/>
      <c r="BG16" s="26"/>
      <c r="BH16" s="26"/>
      <c r="BI16" s="31"/>
      <c r="BJ16" s="30"/>
      <c r="BK16" s="26"/>
      <c r="BL16" s="26"/>
      <c r="BM16" s="31"/>
      <c r="BN16" s="30"/>
      <c r="BO16" s="26"/>
      <c r="BP16" s="26"/>
      <c r="BQ16" s="31"/>
      <c r="BR16" s="30"/>
      <c r="BS16" s="26"/>
      <c r="BT16" s="26"/>
      <c r="BU16" s="31"/>
      <c r="BV16" s="333"/>
      <c r="BW16" s="26"/>
      <c r="BX16" s="26"/>
      <c r="BY16" s="31"/>
      <c r="BZ16" s="453">
        <v>185</v>
      </c>
      <c r="CA16" s="448">
        <v>279</v>
      </c>
      <c r="CB16" s="448">
        <v>1270</v>
      </c>
      <c r="CC16" s="454">
        <v>1484</v>
      </c>
      <c r="CD16" s="36"/>
      <c r="CE16" s="37"/>
      <c r="CF16" s="37"/>
      <c r="CG16" s="38"/>
      <c r="CH16" s="39"/>
      <c r="CI16" s="40"/>
      <c r="CJ16" s="40"/>
      <c r="CK16" s="41"/>
      <c r="CL16" s="30"/>
      <c r="CM16" s="26"/>
      <c r="CN16" s="26"/>
      <c r="CO16" s="31"/>
      <c r="CP16" s="20">
        <f t="shared" si="2"/>
        <v>185</v>
      </c>
      <c r="CQ16" s="19">
        <f t="shared" si="0"/>
        <v>279</v>
      </c>
      <c r="CR16" s="19">
        <f t="shared" si="0"/>
        <v>1270</v>
      </c>
      <c r="CS16" s="644">
        <f t="shared" si="0"/>
        <v>1484</v>
      </c>
      <c r="CT16" s="28"/>
      <c r="CU16" s="26"/>
      <c r="CV16" s="26"/>
      <c r="CW16" s="31"/>
      <c r="CX16" s="19">
        <f t="shared" si="3"/>
        <v>185</v>
      </c>
      <c r="CY16" s="19">
        <f t="shared" si="1"/>
        <v>279</v>
      </c>
      <c r="CZ16" s="19">
        <f t="shared" si="1"/>
        <v>1270</v>
      </c>
      <c r="DA16" s="644">
        <f t="shared" si="1"/>
        <v>1484</v>
      </c>
    </row>
    <row r="17" spans="1:105" ht="14.25">
      <c r="A17" s="443" t="s">
        <v>157</v>
      </c>
      <c r="B17" s="83"/>
      <c r="C17" s="344"/>
      <c r="D17" s="345"/>
      <c r="E17" s="646"/>
      <c r="F17" s="30"/>
      <c r="G17" s="26"/>
      <c r="H17" s="26"/>
      <c r="I17" s="31"/>
      <c r="J17" s="30"/>
      <c r="K17" s="26"/>
      <c r="L17" s="26"/>
      <c r="M17" s="31"/>
      <c r="N17" s="30"/>
      <c r="O17" s="26"/>
      <c r="P17" s="26"/>
      <c r="Q17" s="31"/>
      <c r="R17" s="30"/>
      <c r="S17" s="26"/>
      <c r="T17" s="26"/>
      <c r="U17" s="31"/>
      <c r="V17" s="30"/>
      <c r="W17" s="26"/>
      <c r="X17" s="26"/>
      <c r="Y17" s="31"/>
      <c r="Z17" s="30"/>
      <c r="AA17" s="26"/>
      <c r="AB17" s="26"/>
      <c r="AC17" s="31"/>
      <c r="AD17" s="30"/>
      <c r="AE17" s="26"/>
      <c r="AF17" s="26"/>
      <c r="AG17" s="31"/>
      <c r="AH17" s="30"/>
      <c r="AI17" s="26"/>
      <c r="AJ17" s="26"/>
      <c r="AK17" s="31"/>
      <c r="AL17" s="30"/>
      <c r="AM17" s="26"/>
      <c r="AN17" s="26"/>
      <c r="AO17" s="31"/>
      <c r="AP17" s="30"/>
      <c r="AQ17" s="26"/>
      <c r="AR17" s="26"/>
      <c r="AS17" s="31"/>
      <c r="AT17" s="30"/>
      <c r="AU17" s="26"/>
      <c r="AV17" s="30"/>
      <c r="AW17" s="31"/>
      <c r="AX17" s="32"/>
      <c r="AY17" s="33"/>
      <c r="AZ17" s="33"/>
      <c r="BA17" s="34"/>
      <c r="BB17" s="30"/>
      <c r="BC17" s="26"/>
      <c r="BD17" s="26"/>
      <c r="BE17" s="31"/>
      <c r="BF17" s="30"/>
      <c r="BG17" s="26"/>
      <c r="BH17" s="26"/>
      <c r="BI17" s="31"/>
      <c r="BJ17" s="30"/>
      <c r="BK17" s="26"/>
      <c r="BL17" s="26"/>
      <c r="BM17" s="31"/>
      <c r="BN17" s="30"/>
      <c r="BO17" s="26"/>
      <c r="BP17" s="26"/>
      <c r="BQ17" s="31"/>
      <c r="BR17" s="30"/>
      <c r="BS17" s="26"/>
      <c r="BT17" s="26"/>
      <c r="BU17" s="31"/>
      <c r="BV17" s="333"/>
      <c r="BW17" s="26"/>
      <c r="BX17" s="26"/>
      <c r="BY17" s="31"/>
      <c r="BZ17" s="453">
        <v>1994</v>
      </c>
      <c r="CA17" s="448">
        <v>755</v>
      </c>
      <c r="CB17" s="448">
        <v>6194</v>
      </c>
      <c r="CC17" s="454">
        <v>3020</v>
      </c>
      <c r="CD17" s="36"/>
      <c r="CE17" s="37"/>
      <c r="CF17" s="37"/>
      <c r="CG17" s="38"/>
      <c r="CH17" s="39"/>
      <c r="CI17" s="40"/>
      <c r="CJ17" s="40"/>
      <c r="CK17" s="41"/>
      <c r="CL17" s="30"/>
      <c r="CM17" s="26"/>
      <c r="CN17" s="26"/>
      <c r="CO17" s="31"/>
      <c r="CP17" s="20">
        <f t="shared" si="2"/>
        <v>1994</v>
      </c>
      <c r="CQ17" s="19">
        <f t="shared" si="0"/>
        <v>755</v>
      </c>
      <c r="CR17" s="19">
        <f t="shared" si="0"/>
        <v>6194</v>
      </c>
      <c r="CS17" s="644">
        <f t="shared" si="0"/>
        <v>3020</v>
      </c>
      <c r="CT17" s="28"/>
      <c r="CU17" s="26"/>
      <c r="CV17" s="26"/>
      <c r="CW17" s="31"/>
      <c r="CX17" s="19">
        <f t="shared" si="3"/>
        <v>1994</v>
      </c>
      <c r="CY17" s="19">
        <f t="shared" si="1"/>
        <v>755</v>
      </c>
      <c r="CZ17" s="19">
        <f t="shared" si="1"/>
        <v>6194</v>
      </c>
      <c r="DA17" s="644">
        <f t="shared" si="1"/>
        <v>3020</v>
      </c>
    </row>
    <row r="18" spans="1:105" ht="14.25">
      <c r="A18" s="443" t="s">
        <v>158</v>
      </c>
      <c r="B18" s="83"/>
      <c r="C18" s="344"/>
      <c r="D18" s="345"/>
      <c r="E18" s="646"/>
      <c r="F18" s="30"/>
      <c r="G18" s="26"/>
      <c r="H18" s="26"/>
      <c r="I18" s="31"/>
      <c r="J18" s="30"/>
      <c r="K18" s="26"/>
      <c r="L18" s="26"/>
      <c r="M18" s="31"/>
      <c r="N18" s="30"/>
      <c r="O18" s="26"/>
      <c r="P18" s="26"/>
      <c r="Q18" s="31"/>
      <c r="R18" s="30"/>
      <c r="S18" s="26"/>
      <c r="T18" s="26"/>
      <c r="U18" s="31"/>
      <c r="V18" s="30">
        <v>410559</v>
      </c>
      <c r="W18" s="26"/>
      <c r="X18" s="26">
        <v>410559</v>
      </c>
      <c r="Y18" s="31"/>
      <c r="Z18" s="30">
        <v>-36191</v>
      </c>
      <c r="AA18" s="26">
        <v>141257</v>
      </c>
      <c r="AB18" s="26">
        <v>1452477</v>
      </c>
      <c r="AC18" s="31">
        <v>1744436</v>
      </c>
      <c r="AD18" s="30"/>
      <c r="AE18" s="26"/>
      <c r="AF18" s="26"/>
      <c r="AG18" s="31"/>
      <c r="AH18" s="30">
        <v>1601451</v>
      </c>
      <c r="AI18" s="26">
        <v>757707</v>
      </c>
      <c r="AJ18" s="26">
        <v>1601451</v>
      </c>
      <c r="AK18" s="31">
        <v>757707</v>
      </c>
      <c r="AL18" s="30"/>
      <c r="AM18" s="26"/>
      <c r="AN18" s="26"/>
      <c r="AO18" s="31"/>
      <c r="AP18" s="30"/>
      <c r="AQ18" s="26"/>
      <c r="AR18" s="26"/>
      <c r="AS18" s="31"/>
      <c r="AT18" s="30"/>
      <c r="AU18" s="26"/>
      <c r="AV18" s="30"/>
      <c r="AW18" s="31"/>
      <c r="AX18" s="32"/>
      <c r="AY18" s="33"/>
      <c r="AZ18" s="33"/>
      <c r="BA18" s="34"/>
      <c r="BB18" s="30"/>
      <c r="BC18" s="26"/>
      <c r="BD18" s="26"/>
      <c r="BE18" s="31"/>
      <c r="BF18" s="30"/>
      <c r="BG18" s="26"/>
      <c r="BH18" s="26"/>
      <c r="BI18" s="31"/>
      <c r="BJ18" s="30">
        <f>-20+368+32997+8336</f>
        <v>41681</v>
      </c>
      <c r="BK18" s="26">
        <f>-92069+199+46+19990+2711</f>
        <v>-69123</v>
      </c>
      <c r="BL18" s="26">
        <f>107402+523+1034+21788</f>
        <v>130747</v>
      </c>
      <c r="BM18" s="31">
        <f>-178834-30300+19990+3229+1072</f>
        <v>-184843</v>
      </c>
      <c r="BN18" s="30"/>
      <c r="BO18" s="26"/>
      <c r="BP18" s="26"/>
      <c r="BQ18" s="31"/>
      <c r="BR18" s="30">
        <v>793569</v>
      </c>
      <c r="BS18" s="26">
        <v>498234</v>
      </c>
      <c r="BT18" s="26">
        <v>793569</v>
      </c>
      <c r="BU18" s="31">
        <v>814655</v>
      </c>
      <c r="BV18" s="333"/>
      <c r="BW18" s="26"/>
      <c r="BX18" s="26"/>
      <c r="BY18" s="31"/>
      <c r="BZ18" s="453">
        <v>25264</v>
      </c>
      <c r="CA18" s="448">
        <v>28238</v>
      </c>
      <c r="CB18" s="448">
        <v>98361</v>
      </c>
      <c r="CC18" s="454">
        <v>159014</v>
      </c>
      <c r="CD18" s="36"/>
      <c r="CE18" s="37"/>
      <c r="CF18" s="37"/>
      <c r="CG18" s="38"/>
      <c r="CH18" s="39"/>
      <c r="CI18" s="40"/>
      <c r="CJ18" s="40"/>
      <c r="CK18" s="41"/>
      <c r="CL18" s="30"/>
      <c r="CM18" s="26"/>
      <c r="CN18" s="26"/>
      <c r="CO18" s="31"/>
      <c r="CP18" s="20">
        <f t="shared" si="2"/>
        <v>2836333</v>
      </c>
      <c r="CQ18" s="19">
        <f t="shared" si="0"/>
        <v>1356313</v>
      </c>
      <c r="CR18" s="19">
        <f t="shared" si="0"/>
        <v>4487164</v>
      </c>
      <c r="CS18" s="644">
        <f t="shared" si="0"/>
        <v>3290969</v>
      </c>
      <c r="CT18" s="28"/>
      <c r="CU18" s="26"/>
      <c r="CV18" s="26"/>
      <c r="CW18" s="31"/>
      <c r="CX18" s="19">
        <f t="shared" si="3"/>
        <v>2836333</v>
      </c>
      <c r="CY18" s="19">
        <f t="shared" si="1"/>
        <v>1356313</v>
      </c>
      <c r="CZ18" s="19">
        <f t="shared" si="1"/>
        <v>4487164</v>
      </c>
      <c r="DA18" s="644">
        <f t="shared" si="1"/>
        <v>3290969</v>
      </c>
    </row>
    <row r="19" spans="1:105" ht="28.5">
      <c r="A19" s="443" t="s">
        <v>159</v>
      </c>
      <c r="B19" s="83">
        <v>9952</v>
      </c>
      <c r="C19" s="344">
        <v>11239</v>
      </c>
      <c r="D19" s="345">
        <v>28700</v>
      </c>
      <c r="E19" s="646">
        <v>24964</v>
      </c>
      <c r="F19" s="30"/>
      <c r="G19" s="26"/>
      <c r="H19" s="26"/>
      <c r="I19" s="31"/>
      <c r="J19" s="30"/>
      <c r="K19" s="26"/>
      <c r="L19" s="26"/>
      <c r="M19" s="31"/>
      <c r="N19" s="30"/>
      <c r="O19" s="26"/>
      <c r="P19" s="26"/>
      <c r="Q19" s="31"/>
      <c r="R19" s="30"/>
      <c r="S19" s="26"/>
      <c r="T19" s="26"/>
      <c r="U19" s="31"/>
      <c r="V19" s="30"/>
      <c r="W19" s="26"/>
      <c r="X19" s="26"/>
      <c r="Y19" s="31"/>
      <c r="Z19" s="30"/>
      <c r="AA19" s="26"/>
      <c r="AB19" s="26"/>
      <c r="AC19" s="31"/>
      <c r="AD19" s="30"/>
      <c r="AE19" s="26"/>
      <c r="AF19" s="26"/>
      <c r="AG19" s="31"/>
      <c r="AH19" s="30">
        <v>7699</v>
      </c>
      <c r="AI19" s="26">
        <v>6120</v>
      </c>
      <c r="AJ19" s="26">
        <v>17419</v>
      </c>
      <c r="AK19" s="31">
        <v>17770</v>
      </c>
      <c r="AL19" s="30"/>
      <c r="AM19" s="26"/>
      <c r="AN19" s="26"/>
      <c r="AO19" s="31"/>
      <c r="AP19" s="30"/>
      <c r="AQ19" s="26"/>
      <c r="AR19" s="26"/>
      <c r="AS19" s="31"/>
      <c r="AT19" s="30"/>
      <c r="AU19" s="26"/>
      <c r="AV19" s="30"/>
      <c r="AW19" s="31"/>
      <c r="AX19" s="32"/>
      <c r="AY19" s="33"/>
      <c r="AZ19" s="33"/>
      <c r="BA19" s="34"/>
      <c r="BB19" s="30"/>
      <c r="BC19" s="26"/>
      <c r="BD19" s="26"/>
      <c r="BE19" s="31"/>
      <c r="BF19" s="30">
        <v>26000</v>
      </c>
      <c r="BG19" s="26">
        <v>10000</v>
      </c>
      <c r="BH19" s="26">
        <v>26000</v>
      </c>
      <c r="BI19" s="31">
        <v>20000</v>
      </c>
      <c r="BJ19" s="30">
        <v>29390</v>
      </c>
      <c r="BK19" s="26">
        <v>29064</v>
      </c>
      <c r="BL19" s="26">
        <v>126400</v>
      </c>
      <c r="BM19" s="31">
        <v>117133</v>
      </c>
      <c r="BN19" s="30"/>
      <c r="BO19" s="26"/>
      <c r="BP19" s="26"/>
      <c r="BQ19" s="31"/>
      <c r="BR19" s="30"/>
      <c r="BS19" s="26"/>
      <c r="BT19" s="26"/>
      <c r="BU19" s="31"/>
      <c r="BV19" s="333"/>
      <c r="BW19" s="26"/>
      <c r="BX19" s="26"/>
      <c r="BY19" s="31"/>
      <c r="BZ19" s="453">
        <v>51520</v>
      </c>
      <c r="CA19" s="448">
        <v>39664</v>
      </c>
      <c r="CB19" s="448">
        <v>189616</v>
      </c>
      <c r="CC19" s="454">
        <v>153647</v>
      </c>
      <c r="CD19" s="36"/>
      <c r="CE19" s="37"/>
      <c r="CF19" s="37"/>
      <c r="CG19" s="38"/>
      <c r="CH19" s="39">
        <v>5624</v>
      </c>
      <c r="CI19" s="40">
        <v>3500</v>
      </c>
      <c r="CJ19" s="40">
        <v>22498</v>
      </c>
      <c r="CK19" s="41">
        <v>14000</v>
      </c>
      <c r="CL19" s="30">
        <v>7268</v>
      </c>
      <c r="CM19" s="26">
        <v>637</v>
      </c>
      <c r="CN19" s="26">
        <v>8129</v>
      </c>
      <c r="CO19" s="31">
        <v>2530</v>
      </c>
      <c r="CP19" s="20">
        <f t="shared" si="2"/>
        <v>137453</v>
      </c>
      <c r="CQ19" s="19">
        <f t="shared" si="0"/>
        <v>100224</v>
      </c>
      <c r="CR19" s="19">
        <f t="shared" si="0"/>
        <v>418762</v>
      </c>
      <c r="CS19" s="644">
        <f t="shared" si="0"/>
        <v>350044</v>
      </c>
      <c r="CT19" s="28"/>
      <c r="CU19" s="26"/>
      <c r="CV19" s="26"/>
      <c r="CW19" s="31"/>
      <c r="CX19" s="19">
        <f t="shared" si="3"/>
        <v>137453</v>
      </c>
      <c r="CY19" s="19">
        <f t="shared" si="1"/>
        <v>100224</v>
      </c>
      <c r="CZ19" s="19">
        <f t="shared" si="1"/>
        <v>418762</v>
      </c>
      <c r="DA19" s="644">
        <f t="shared" si="1"/>
        <v>350044</v>
      </c>
    </row>
    <row r="20" spans="1:105" ht="14.25">
      <c r="A20" s="443" t="s">
        <v>160</v>
      </c>
      <c r="B20" s="19"/>
      <c r="C20" s="18"/>
      <c r="D20" s="343"/>
      <c r="E20" s="645"/>
      <c r="F20" s="50"/>
      <c r="G20" s="47">
        <v>2050</v>
      </c>
      <c r="H20" s="47"/>
      <c r="I20" s="51">
        <v>2050</v>
      </c>
      <c r="J20" s="50"/>
      <c r="K20" s="47"/>
      <c r="L20" s="47"/>
      <c r="M20" s="51"/>
      <c r="N20" s="50"/>
      <c r="O20" s="47"/>
      <c r="P20" s="47"/>
      <c r="Q20" s="51"/>
      <c r="R20" s="50"/>
      <c r="S20" s="47"/>
      <c r="T20" s="47"/>
      <c r="U20" s="51"/>
      <c r="V20" s="50">
        <v>97</v>
      </c>
      <c r="W20" s="47">
        <v>23</v>
      </c>
      <c r="X20" s="47">
        <v>2128</v>
      </c>
      <c r="Y20" s="51">
        <v>251</v>
      </c>
      <c r="Z20" s="50"/>
      <c r="AA20" s="47"/>
      <c r="AB20" s="47"/>
      <c r="AC20" s="51"/>
      <c r="AD20" s="50"/>
      <c r="AE20" s="47"/>
      <c r="AF20" s="47"/>
      <c r="AG20" s="51"/>
      <c r="AH20" s="50"/>
      <c r="AI20" s="47"/>
      <c r="AJ20" s="47"/>
      <c r="AK20" s="51"/>
      <c r="AL20" s="50"/>
      <c r="AM20" s="47"/>
      <c r="AN20" s="47"/>
      <c r="AO20" s="51"/>
      <c r="AP20" s="50"/>
      <c r="AQ20" s="47"/>
      <c r="AR20" s="47"/>
      <c r="AS20" s="51"/>
      <c r="AT20" s="50"/>
      <c r="AU20" s="47"/>
      <c r="AV20" s="50"/>
      <c r="AW20" s="51"/>
      <c r="AX20" s="32"/>
      <c r="AY20" s="33"/>
      <c r="AZ20" s="33"/>
      <c r="BA20" s="34"/>
      <c r="BB20" s="50">
        <v>3296</v>
      </c>
      <c r="BC20" s="47"/>
      <c r="BD20" s="47">
        <v>3296</v>
      </c>
      <c r="BE20" s="51"/>
      <c r="BF20" s="52"/>
      <c r="BG20" s="53"/>
      <c r="BH20" s="53"/>
      <c r="BI20" s="54"/>
      <c r="BJ20" s="50"/>
      <c r="BK20" s="47"/>
      <c r="BL20" s="47"/>
      <c r="BM20" s="51"/>
      <c r="BN20" s="50"/>
      <c r="BO20" s="47"/>
      <c r="BP20" s="47"/>
      <c r="BQ20" s="51"/>
      <c r="BR20" s="50"/>
      <c r="BS20" s="47"/>
      <c r="BT20" s="47"/>
      <c r="BU20" s="51"/>
      <c r="BV20" s="333"/>
      <c r="BW20" s="26"/>
      <c r="BX20" s="26"/>
      <c r="BY20" s="31"/>
      <c r="BZ20" s="455"/>
      <c r="CA20" s="449"/>
      <c r="CB20" s="449"/>
      <c r="CC20" s="456"/>
      <c r="CD20" s="36"/>
      <c r="CE20" s="37"/>
      <c r="CF20" s="37"/>
      <c r="CG20" s="38"/>
      <c r="CH20" s="39">
        <v>768</v>
      </c>
      <c r="CI20" s="40">
        <v>381</v>
      </c>
      <c r="CJ20" s="40">
        <v>809</v>
      </c>
      <c r="CK20" s="41">
        <v>381</v>
      </c>
      <c r="CL20" s="50">
        <v>161</v>
      </c>
      <c r="CM20" s="47">
        <v>-83</v>
      </c>
      <c r="CN20" s="47">
        <v>41606</v>
      </c>
      <c r="CO20" s="51">
        <v>-83</v>
      </c>
      <c r="CP20" s="20">
        <f t="shared" si="2"/>
        <v>4322</v>
      </c>
      <c r="CQ20" s="19">
        <f t="shared" si="0"/>
        <v>2371</v>
      </c>
      <c r="CR20" s="19">
        <f t="shared" si="0"/>
        <v>47839</v>
      </c>
      <c r="CS20" s="644">
        <f t="shared" si="0"/>
        <v>2599</v>
      </c>
      <c r="CT20" s="48"/>
      <c r="CU20" s="47"/>
      <c r="CV20" s="47"/>
      <c r="CW20" s="51"/>
      <c r="CX20" s="19">
        <f t="shared" si="3"/>
        <v>4322</v>
      </c>
      <c r="CY20" s="19">
        <f t="shared" si="1"/>
        <v>2371</v>
      </c>
      <c r="CZ20" s="19">
        <f t="shared" si="1"/>
        <v>47839</v>
      </c>
      <c r="DA20" s="644">
        <f t="shared" si="1"/>
        <v>2599</v>
      </c>
    </row>
    <row r="21" spans="1:105" ht="28.5">
      <c r="A21" s="443" t="s">
        <v>161</v>
      </c>
      <c r="B21" s="83">
        <v>321546</v>
      </c>
      <c r="C21" s="344">
        <v>406226</v>
      </c>
      <c r="D21" s="345">
        <v>1392155</v>
      </c>
      <c r="E21" s="646">
        <v>1066492</v>
      </c>
      <c r="F21" s="30">
        <v>170000</v>
      </c>
      <c r="G21" s="26">
        <v>600000</v>
      </c>
      <c r="H21" s="26">
        <v>170000</v>
      </c>
      <c r="I21" s="31">
        <v>600000</v>
      </c>
      <c r="J21" s="30">
        <v>-211164</v>
      </c>
      <c r="K21" s="26">
        <v>-748611</v>
      </c>
      <c r="L21" s="26">
        <v>102139</v>
      </c>
      <c r="M21" s="31">
        <v>211911</v>
      </c>
      <c r="N21" s="30">
        <v>3032892</v>
      </c>
      <c r="O21" s="26">
        <v>1325626</v>
      </c>
      <c r="P21" s="26">
        <v>3763859</v>
      </c>
      <c r="Q21" s="31">
        <v>1574468</v>
      </c>
      <c r="R21" s="30"/>
      <c r="S21" s="26"/>
      <c r="T21" s="26"/>
      <c r="U21" s="31"/>
      <c r="V21" s="30">
        <f>7644-3249-169+8025+8305</f>
        <v>20556</v>
      </c>
      <c r="W21" s="468">
        <f>35821-3819-1294</f>
        <v>30708</v>
      </c>
      <c r="X21" s="26">
        <f>25863+29428+13340</f>
        <v>68631</v>
      </c>
      <c r="Y21" s="31">
        <v>42191</v>
      </c>
      <c r="Z21" s="468">
        <v>30489</v>
      </c>
      <c r="AA21" s="468">
        <v>-24199</v>
      </c>
      <c r="AB21" s="468">
        <v>125705</v>
      </c>
      <c r="AC21" s="31">
        <v>216379</v>
      </c>
      <c r="AD21" s="30">
        <v>598152</v>
      </c>
      <c r="AE21" s="26">
        <v>-450276</v>
      </c>
      <c r="AF21" s="26">
        <v>1413897</v>
      </c>
      <c r="AG21" s="31">
        <v>1513776</v>
      </c>
      <c r="AH21" s="30">
        <v>-1134224</v>
      </c>
      <c r="AI21" s="26">
        <v>-291133</v>
      </c>
      <c r="AJ21" s="26">
        <v>34968</v>
      </c>
      <c r="AK21" s="31">
        <v>308042</v>
      </c>
      <c r="AL21" s="30">
        <v>-833272</v>
      </c>
      <c r="AM21" s="26">
        <v>28010</v>
      </c>
      <c r="AN21" s="26">
        <v>604364</v>
      </c>
      <c r="AO21" s="31">
        <v>1624888</v>
      </c>
      <c r="AP21" s="30">
        <v>2981110</v>
      </c>
      <c r="AQ21" s="26">
        <v>1540784</v>
      </c>
      <c r="AR21" s="26">
        <v>3089502</v>
      </c>
      <c r="AS21" s="31">
        <v>1566482</v>
      </c>
      <c r="AT21" s="30">
        <v>3573819</v>
      </c>
      <c r="AU21" s="26">
        <v>752784</v>
      </c>
      <c r="AV21" s="30">
        <v>5272030</v>
      </c>
      <c r="AW21" s="31">
        <v>752784</v>
      </c>
      <c r="AX21" s="32"/>
      <c r="AY21" s="33"/>
      <c r="AZ21" s="33"/>
      <c r="BA21" s="34"/>
      <c r="BB21" s="30">
        <v>400038</v>
      </c>
      <c r="BC21" s="26">
        <v>41525</v>
      </c>
      <c r="BD21" s="26">
        <v>1004429</v>
      </c>
      <c r="BE21" s="31">
        <v>457471</v>
      </c>
      <c r="BF21" s="30">
        <v>60666</v>
      </c>
      <c r="BG21" s="26">
        <v>18883</v>
      </c>
      <c r="BH21" s="26">
        <v>172231</v>
      </c>
      <c r="BI21" s="31">
        <v>43079</v>
      </c>
      <c r="BJ21" s="30">
        <v>120347</v>
      </c>
      <c r="BK21" s="26">
        <v>87906</v>
      </c>
      <c r="BL21" s="26">
        <v>120347</v>
      </c>
      <c r="BM21" s="31">
        <v>91467</v>
      </c>
      <c r="BN21" s="30">
        <v>381239</v>
      </c>
      <c r="BO21" s="26">
        <v>214181</v>
      </c>
      <c r="BP21" s="26">
        <v>756411</v>
      </c>
      <c r="BQ21" s="31">
        <v>484308</v>
      </c>
      <c r="BR21" s="30">
        <v>635368</v>
      </c>
      <c r="BS21" s="26">
        <v>686535</v>
      </c>
      <c r="BT21" s="26">
        <v>1223252</v>
      </c>
      <c r="BU21" s="31">
        <v>1634425</v>
      </c>
      <c r="BV21" s="333"/>
      <c r="BW21" s="26"/>
      <c r="BX21" s="26"/>
      <c r="BY21" s="31"/>
      <c r="BZ21" s="455">
        <v>989153</v>
      </c>
      <c r="CA21" s="449">
        <v>756382</v>
      </c>
      <c r="CB21" s="449">
        <v>989153</v>
      </c>
      <c r="CC21" s="456">
        <v>756382</v>
      </c>
      <c r="CD21" s="36">
        <v>-702</v>
      </c>
      <c r="CE21" s="37">
        <v>6215</v>
      </c>
      <c r="CF21" s="37">
        <v>1182</v>
      </c>
      <c r="CG21" s="38">
        <v>20937</v>
      </c>
      <c r="CH21" s="39">
        <v>32754</v>
      </c>
      <c r="CI21" s="40">
        <f>-7552-543-6666</f>
        <v>-14761</v>
      </c>
      <c r="CJ21" s="40">
        <v>172111</v>
      </c>
      <c r="CK21" s="41">
        <f>17765+96808</f>
        <v>114573</v>
      </c>
      <c r="CL21" s="30">
        <v>1125022</v>
      </c>
      <c r="CM21" s="26">
        <v>667621</v>
      </c>
      <c r="CN21" s="26">
        <v>1861371</v>
      </c>
      <c r="CO21" s="31">
        <v>1432482</v>
      </c>
      <c r="CP21" s="20">
        <f t="shared" si="2"/>
        <v>12293789</v>
      </c>
      <c r="CQ21" s="19">
        <f t="shared" si="2"/>
        <v>5634406</v>
      </c>
      <c r="CR21" s="19">
        <f t="shared" si="2"/>
        <v>22337737</v>
      </c>
      <c r="CS21" s="644">
        <f t="shared" si="2"/>
        <v>14512537</v>
      </c>
      <c r="CT21" s="346"/>
      <c r="CU21" s="40"/>
      <c r="CV21" s="40"/>
      <c r="CW21" s="41"/>
      <c r="CX21" s="19">
        <f t="shared" si="3"/>
        <v>12293789</v>
      </c>
      <c r="CY21" s="19">
        <f t="shared" si="3"/>
        <v>5634406</v>
      </c>
      <c r="CZ21" s="19">
        <f t="shared" si="3"/>
        <v>22337737</v>
      </c>
      <c r="DA21" s="644">
        <f t="shared" si="3"/>
        <v>14512537</v>
      </c>
    </row>
    <row r="22" spans="1:105" ht="14.25">
      <c r="A22" s="443" t="s">
        <v>162</v>
      </c>
      <c r="B22" s="83"/>
      <c r="C22" s="344"/>
      <c r="D22" s="345"/>
      <c r="E22" s="646"/>
      <c r="F22" s="30"/>
      <c r="G22" s="26"/>
      <c r="H22" s="26"/>
      <c r="I22" s="31"/>
      <c r="J22" s="30"/>
      <c r="K22" s="26"/>
      <c r="L22" s="26"/>
      <c r="M22" s="31"/>
      <c r="N22" s="30"/>
      <c r="O22" s="26"/>
      <c r="P22" s="26"/>
      <c r="Q22" s="31"/>
      <c r="R22" s="30"/>
      <c r="S22" s="26"/>
      <c r="T22" s="26"/>
      <c r="U22" s="31"/>
      <c r="V22" s="30"/>
      <c r="W22" s="26"/>
      <c r="X22" s="26"/>
      <c r="Y22" s="31"/>
      <c r="Z22" s="30"/>
      <c r="AA22" s="26"/>
      <c r="AB22" s="26"/>
      <c r="AC22" s="31"/>
      <c r="AD22" s="30"/>
      <c r="AE22" s="26"/>
      <c r="AF22" s="26"/>
      <c r="AG22" s="31"/>
      <c r="AH22" s="30"/>
      <c r="AI22" s="26"/>
      <c r="AJ22" s="26"/>
      <c r="AK22" s="31"/>
      <c r="AL22" s="30"/>
      <c r="AM22" s="26"/>
      <c r="AN22" s="26"/>
      <c r="AO22" s="31"/>
      <c r="AP22" s="30"/>
      <c r="AQ22" s="26"/>
      <c r="AR22" s="26"/>
      <c r="AS22" s="31"/>
      <c r="AT22" s="30"/>
      <c r="AU22" s="26"/>
      <c r="AV22" s="30"/>
      <c r="AW22" s="31"/>
      <c r="AX22" s="32"/>
      <c r="AY22" s="33"/>
      <c r="AZ22" s="33"/>
      <c r="BA22" s="34"/>
      <c r="BB22" s="30"/>
      <c r="BC22" s="26"/>
      <c r="BD22" s="26"/>
      <c r="BE22" s="31"/>
      <c r="BF22" s="30"/>
      <c r="BG22" s="26"/>
      <c r="BH22" s="26"/>
      <c r="BI22" s="31"/>
      <c r="BJ22" s="30"/>
      <c r="BK22" s="26"/>
      <c r="BL22" s="26"/>
      <c r="BM22" s="31"/>
      <c r="BN22" s="30"/>
      <c r="BO22" s="26"/>
      <c r="BP22" s="26"/>
      <c r="BQ22" s="31"/>
      <c r="BR22" s="30"/>
      <c r="BS22" s="26"/>
      <c r="BT22" s="26"/>
      <c r="BU22" s="31"/>
      <c r="BV22" s="333"/>
      <c r="BW22" s="26"/>
      <c r="BX22" s="26"/>
      <c r="BY22" s="31"/>
      <c r="BZ22" s="451"/>
      <c r="CA22" s="447"/>
      <c r="CB22" s="447"/>
      <c r="CC22" s="452"/>
      <c r="CD22" s="36"/>
      <c r="CE22" s="37"/>
      <c r="CF22" s="37"/>
      <c r="CG22" s="38"/>
      <c r="CH22" s="39"/>
      <c r="CI22" s="40"/>
      <c r="CJ22" s="40"/>
      <c r="CK22" s="41"/>
      <c r="CL22" s="30"/>
      <c r="CM22" s="26"/>
      <c r="CN22" s="26"/>
      <c r="CO22" s="31"/>
      <c r="CP22" s="20">
        <f t="shared" si="2"/>
        <v>0</v>
      </c>
      <c r="CQ22" s="19">
        <f t="shared" si="2"/>
        <v>0</v>
      </c>
      <c r="CR22" s="19">
        <f t="shared" si="2"/>
        <v>0</v>
      </c>
      <c r="CS22" s="644">
        <f t="shared" si="2"/>
        <v>0</v>
      </c>
      <c r="CT22" s="346"/>
      <c r="CU22" s="40"/>
      <c r="CV22" s="40"/>
      <c r="CW22" s="41"/>
      <c r="CX22" s="19">
        <f t="shared" si="3"/>
        <v>0</v>
      </c>
      <c r="CY22" s="19">
        <f t="shared" si="3"/>
        <v>0</v>
      </c>
      <c r="CZ22" s="19">
        <f t="shared" si="3"/>
        <v>0</v>
      </c>
      <c r="DA22" s="644">
        <f t="shared" si="3"/>
        <v>0</v>
      </c>
    </row>
    <row r="23" spans="1:105" ht="28.5">
      <c r="A23" s="443" t="s">
        <v>163</v>
      </c>
      <c r="B23" s="83"/>
      <c r="C23" s="344"/>
      <c r="D23" s="345"/>
      <c r="E23" s="646">
        <v>6499</v>
      </c>
      <c r="F23" s="30"/>
      <c r="G23" s="26"/>
      <c r="H23" s="26">
        <v>20000</v>
      </c>
      <c r="I23" s="31"/>
      <c r="J23" s="30"/>
      <c r="K23" s="26"/>
      <c r="L23" s="26"/>
      <c r="M23" s="31"/>
      <c r="N23" s="30">
        <v>401434</v>
      </c>
      <c r="O23" s="26"/>
      <c r="P23" s="26">
        <v>1346782</v>
      </c>
      <c r="Q23" s="31"/>
      <c r="R23" s="30"/>
      <c r="S23" s="26"/>
      <c r="T23" s="26"/>
      <c r="U23" s="31"/>
      <c r="V23" s="30">
        <v>-185559</v>
      </c>
      <c r="W23" s="26"/>
      <c r="X23" s="26"/>
      <c r="Y23" s="31"/>
      <c r="Z23" s="30"/>
      <c r="AA23" s="26"/>
      <c r="AB23" s="26">
        <v>85512</v>
      </c>
      <c r="AC23" s="31"/>
      <c r="AD23" s="30"/>
      <c r="AE23" s="26"/>
      <c r="AF23" s="26"/>
      <c r="AG23" s="31"/>
      <c r="AH23" s="30"/>
      <c r="AI23" s="26"/>
      <c r="AJ23" s="26"/>
      <c r="AK23" s="31"/>
      <c r="AL23" s="30"/>
      <c r="AM23" s="26"/>
      <c r="AN23" s="26"/>
      <c r="AO23" s="31"/>
      <c r="AP23" s="30">
        <v>-8951</v>
      </c>
      <c r="AQ23" s="26">
        <v>2628</v>
      </c>
      <c r="AR23" s="26">
        <v>97281</v>
      </c>
      <c r="AS23" s="31">
        <v>-4064</v>
      </c>
      <c r="AT23" s="30"/>
      <c r="AU23" s="26"/>
      <c r="AV23" s="30"/>
      <c r="AW23" s="31"/>
      <c r="AX23" s="32">
        <v>5816</v>
      </c>
      <c r="AY23" s="33"/>
      <c r="AZ23" s="33">
        <v>106947</v>
      </c>
      <c r="BA23" s="34"/>
      <c r="BB23" s="30"/>
      <c r="BC23" s="26"/>
      <c r="BD23" s="26">
        <v>155367</v>
      </c>
      <c r="BE23" s="31"/>
      <c r="BF23" s="30">
        <v>593</v>
      </c>
      <c r="BG23" s="26"/>
      <c r="BH23" s="26">
        <v>1874</v>
      </c>
      <c r="BI23" s="31"/>
      <c r="BJ23" s="30"/>
      <c r="BK23" s="26"/>
      <c r="BL23" s="26"/>
      <c r="BM23" s="31"/>
      <c r="BN23" s="30"/>
      <c r="BO23" s="26"/>
      <c r="BP23" s="26"/>
      <c r="BQ23" s="31"/>
      <c r="BR23" s="30"/>
      <c r="BS23" s="26"/>
      <c r="BT23" s="26"/>
      <c r="BU23" s="31"/>
      <c r="BV23" s="333"/>
      <c r="BW23" s="26"/>
      <c r="BX23" s="26"/>
      <c r="BY23" s="31"/>
      <c r="BZ23" s="453">
        <v>9923</v>
      </c>
      <c r="CA23" s="448">
        <v>5868</v>
      </c>
      <c r="CB23" s="448">
        <v>159262</v>
      </c>
      <c r="CC23" s="454">
        <v>7392</v>
      </c>
      <c r="CD23" s="36">
        <v>33500</v>
      </c>
      <c r="CE23" s="37"/>
      <c r="CF23" s="37">
        <v>50000</v>
      </c>
      <c r="CG23" s="38"/>
      <c r="CH23" s="39"/>
      <c r="CI23" s="40"/>
      <c r="CJ23" s="40">
        <v>31200</v>
      </c>
      <c r="CK23" s="41"/>
      <c r="CL23" s="30"/>
      <c r="CM23" s="26"/>
      <c r="CN23" s="26"/>
      <c r="CO23" s="31"/>
      <c r="CP23" s="20">
        <f t="shared" si="2"/>
        <v>256756</v>
      </c>
      <c r="CQ23" s="19">
        <f t="shared" si="2"/>
        <v>8496</v>
      </c>
      <c r="CR23" s="19">
        <f t="shared" si="2"/>
        <v>2054225</v>
      </c>
      <c r="CS23" s="644">
        <f t="shared" si="2"/>
        <v>9827</v>
      </c>
      <c r="CT23" s="346"/>
      <c r="CU23" s="40"/>
      <c r="CV23" s="40"/>
      <c r="CW23" s="41"/>
      <c r="CX23" s="19">
        <f t="shared" si="3"/>
        <v>256756</v>
      </c>
      <c r="CY23" s="19">
        <f t="shared" si="3"/>
        <v>8496</v>
      </c>
      <c r="CZ23" s="19">
        <f t="shared" si="3"/>
        <v>2054225</v>
      </c>
      <c r="DA23" s="644">
        <f t="shared" si="3"/>
        <v>9827</v>
      </c>
    </row>
    <row r="24" spans="1:105" ht="14.25">
      <c r="A24" s="443" t="s">
        <v>164</v>
      </c>
      <c r="B24" s="83"/>
      <c r="C24" s="344"/>
      <c r="D24" s="345"/>
      <c r="E24" s="646"/>
      <c r="F24" s="30"/>
      <c r="G24" s="26">
        <v>458</v>
      </c>
      <c r="H24" s="26">
        <v>7</v>
      </c>
      <c r="I24" s="31">
        <v>458</v>
      </c>
      <c r="J24" s="30"/>
      <c r="K24" s="26"/>
      <c r="L24" s="26"/>
      <c r="M24" s="31"/>
      <c r="N24" s="30"/>
      <c r="O24" s="26"/>
      <c r="P24" s="26"/>
      <c r="Q24" s="31"/>
      <c r="R24" s="30"/>
      <c r="S24" s="26"/>
      <c r="T24" s="26"/>
      <c r="U24" s="31"/>
      <c r="V24" s="30">
        <v>146</v>
      </c>
      <c r="W24" s="26">
        <v>3437</v>
      </c>
      <c r="X24" s="26">
        <v>168</v>
      </c>
      <c r="Y24" s="31">
        <v>3210</v>
      </c>
      <c r="Z24" s="30"/>
      <c r="AA24" s="26"/>
      <c r="AB24" s="26"/>
      <c r="AC24" s="31"/>
      <c r="AD24" s="30"/>
      <c r="AE24" s="26"/>
      <c r="AF24" s="26"/>
      <c r="AG24" s="31"/>
      <c r="AH24" s="30"/>
      <c r="AI24" s="26"/>
      <c r="AJ24" s="26"/>
      <c r="AK24" s="31"/>
      <c r="AL24" s="30">
        <v>18609</v>
      </c>
      <c r="AM24" s="26"/>
      <c r="AN24" s="26">
        <v>27500</v>
      </c>
      <c r="AO24" s="31"/>
      <c r="AP24" s="30"/>
      <c r="AQ24" s="26"/>
      <c r="AR24" s="26"/>
      <c r="AS24" s="31"/>
      <c r="AT24" s="30"/>
      <c r="AU24" s="26"/>
      <c r="AV24" s="30"/>
      <c r="AW24" s="31"/>
      <c r="AX24" s="32"/>
      <c r="AY24" s="33"/>
      <c r="AZ24" s="33"/>
      <c r="BA24" s="34"/>
      <c r="BB24" s="30">
        <v>-2100</v>
      </c>
      <c r="BC24" s="26">
        <v>326</v>
      </c>
      <c r="BD24" s="26">
        <v>2136</v>
      </c>
      <c r="BE24" s="31">
        <v>2079</v>
      </c>
      <c r="BF24" s="30"/>
      <c r="BG24" s="26"/>
      <c r="BH24" s="26"/>
      <c r="BI24" s="31"/>
      <c r="BJ24" s="30"/>
      <c r="BK24" s="26"/>
      <c r="BL24" s="26"/>
      <c r="BM24" s="31"/>
      <c r="BN24" s="30"/>
      <c r="BO24" s="26"/>
      <c r="BP24" s="26"/>
      <c r="BQ24" s="31"/>
      <c r="BR24" s="30"/>
      <c r="BS24" s="26"/>
      <c r="BT24" s="26"/>
      <c r="BU24" s="31"/>
      <c r="BV24" s="333"/>
      <c r="BW24" s="26"/>
      <c r="BX24" s="26"/>
      <c r="BY24" s="31"/>
      <c r="BZ24" s="455"/>
      <c r="CA24" s="449"/>
      <c r="CB24" s="449"/>
      <c r="CC24" s="456"/>
      <c r="CD24" s="36"/>
      <c r="CE24" s="37"/>
      <c r="CF24" s="37"/>
      <c r="CG24" s="38"/>
      <c r="CH24" s="39">
        <v>-38</v>
      </c>
      <c r="CI24" s="40">
        <v>-595</v>
      </c>
      <c r="CJ24" s="40">
        <v>4175</v>
      </c>
      <c r="CK24" s="41">
        <v>5968</v>
      </c>
      <c r="CL24" s="30">
        <v>3559</v>
      </c>
      <c r="CM24" s="26">
        <v>9584</v>
      </c>
      <c r="CN24" s="26">
        <v>-24071</v>
      </c>
      <c r="CO24" s="31">
        <v>9584</v>
      </c>
      <c r="CP24" s="20">
        <f t="shared" si="2"/>
        <v>20176</v>
      </c>
      <c r="CQ24" s="19">
        <f t="shared" si="2"/>
        <v>13210</v>
      </c>
      <c r="CR24" s="19">
        <f t="shared" si="2"/>
        <v>9915</v>
      </c>
      <c r="CS24" s="644">
        <f t="shared" si="2"/>
        <v>21299</v>
      </c>
      <c r="CT24" s="346"/>
      <c r="CU24" s="40"/>
      <c r="CV24" s="40"/>
      <c r="CW24" s="41"/>
      <c r="CX24" s="19">
        <f t="shared" si="3"/>
        <v>20176</v>
      </c>
      <c r="CY24" s="19">
        <f t="shared" si="3"/>
        <v>13210</v>
      </c>
      <c r="CZ24" s="19">
        <f t="shared" si="3"/>
        <v>9915</v>
      </c>
      <c r="DA24" s="644">
        <f t="shared" si="3"/>
        <v>21299</v>
      </c>
    </row>
    <row r="25" spans="1:105" ht="14.25">
      <c r="A25" s="443" t="s">
        <v>344</v>
      </c>
      <c r="B25" s="83"/>
      <c r="C25" s="344"/>
      <c r="D25" s="345"/>
      <c r="E25" s="646"/>
      <c r="F25" s="30"/>
      <c r="G25" s="26"/>
      <c r="H25" s="26"/>
      <c r="I25" s="31"/>
      <c r="J25" s="30"/>
      <c r="K25" s="26"/>
      <c r="L25" s="26"/>
      <c r="M25" s="31"/>
      <c r="N25" s="30"/>
      <c r="O25" s="26"/>
      <c r="P25" s="26"/>
      <c r="Q25" s="31"/>
      <c r="R25" s="30"/>
      <c r="S25" s="26"/>
      <c r="T25" s="26"/>
      <c r="U25" s="31"/>
      <c r="V25" s="30"/>
      <c r="W25" s="26"/>
      <c r="X25" s="26"/>
      <c r="Y25" s="31"/>
      <c r="Z25" s="30"/>
      <c r="AA25" s="26"/>
      <c r="AB25" s="26"/>
      <c r="AC25" s="31"/>
      <c r="AD25" s="30"/>
      <c r="AE25" s="26"/>
      <c r="AF25" s="26"/>
      <c r="AG25" s="31"/>
      <c r="AH25" s="30"/>
      <c r="AI25" s="26"/>
      <c r="AJ25" s="26"/>
      <c r="AK25" s="31"/>
      <c r="AL25" s="30"/>
      <c r="AM25" s="26"/>
      <c r="AN25" s="26"/>
      <c r="AO25" s="31"/>
      <c r="AP25" s="30"/>
      <c r="AQ25" s="26">
        <v>-605</v>
      </c>
      <c r="AR25" s="26"/>
      <c r="AS25" s="31">
        <v>-468</v>
      </c>
      <c r="AT25" s="30"/>
      <c r="AU25" s="26"/>
      <c r="AV25" s="30"/>
      <c r="AW25" s="31"/>
      <c r="AX25" s="32"/>
      <c r="AY25" s="33"/>
      <c r="AZ25" s="33"/>
      <c r="BA25" s="34"/>
      <c r="BB25" s="30"/>
      <c r="BC25" s="26"/>
      <c r="BD25" s="26"/>
      <c r="BE25" s="31"/>
      <c r="BF25" s="30"/>
      <c r="BG25" s="26"/>
      <c r="BH25" s="26"/>
      <c r="BI25" s="31"/>
      <c r="BJ25" s="30"/>
      <c r="BK25" s="26"/>
      <c r="BL25" s="26"/>
      <c r="BM25" s="31"/>
      <c r="BN25" s="30"/>
      <c r="BO25" s="26"/>
      <c r="BP25" s="26"/>
      <c r="BQ25" s="31"/>
      <c r="BR25" s="30"/>
      <c r="BS25" s="26"/>
      <c r="BT25" s="26"/>
      <c r="BU25" s="31"/>
      <c r="BV25" s="333"/>
      <c r="BW25" s="26"/>
      <c r="BX25" s="26"/>
      <c r="BY25" s="31"/>
      <c r="BZ25" s="455"/>
      <c r="CA25" s="449"/>
      <c r="CB25" s="449"/>
      <c r="CC25" s="456"/>
      <c r="CD25" s="855"/>
      <c r="CE25" s="856"/>
      <c r="CF25" s="856"/>
      <c r="CG25" s="38"/>
      <c r="CH25" s="39"/>
      <c r="CI25" s="40"/>
      <c r="CJ25" s="40"/>
      <c r="CK25" s="41"/>
      <c r="CL25" s="30"/>
      <c r="CM25" s="26"/>
      <c r="CN25" s="26"/>
      <c r="CO25" s="31"/>
      <c r="CP25" s="20"/>
      <c r="CQ25" s="19"/>
      <c r="CR25" s="19"/>
      <c r="CS25" s="852"/>
      <c r="CT25" s="346"/>
      <c r="CU25" s="40"/>
      <c r="CV25" s="40"/>
      <c r="CW25" s="41"/>
      <c r="CX25" s="19"/>
      <c r="CY25" s="19"/>
      <c r="CZ25" s="19"/>
      <c r="DA25" s="852"/>
    </row>
    <row r="26" spans="1:105" s="977" customFormat="1" ht="14.25">
      <c r="A26" s="971" t="s">
        <v>450</v>
      </c>
      <c r="B26" s="972">
        <f aca="true" t="shared" si="6" ref="B26:BM26">SUM(B13:B24)</f>
        <v>1332493</v>
      </c>
      <c r="C26" s="973">
        <f t="shared" si="6"/>
        <v>1587347</v>
      </c>
      <c r="D26" s="973">
        <f t="shared" si="6"/>
        <v>2812658</v>
      </c>
      <c r="E26" s="974">
        <f t="shared" si="6"/>
        <v>2638577</v>
      </c>
      <c r="F26" s="975">
        <f t="shared" si="6"/>
        <v>-37208</v>
      </c>
      <c r="G26" s="973">
        <f t="shared" si="6"/>
        <v>548078</v>
      </c>
      <c r="H26" s="973">
        <f t="shared" si="6"/>
        <v>895500</v>
      </c>
      <c r="I26" s="974">
        <f t="shared" si="6"/>
        <v>1155030</v>
      </c>
      <c r="J26" s="975">
        <f t="shared" si="6"/>
        <v>836943</v>
      </c>
      <c r="K26" s="973">
        <f t="shared" si="6"/>
        <v>349388</v>
      </c>
      <c r="L26" s="973">
        <f t="shared" si="6"/>
        <v>1200552</v>
      </c>
      <c r="M26" s="974">
        <f t="shared" si="6"/>
        <v>1349837</v>
      </c>
      <c r="N26" s="975">
        <f t="shared" si="6"/>
        <v>3635410</v>
      </c>
      <c r="O26" s="973">
        <f t="shared" si="6"/>
        <v>1518167</v>
      </c>
      <c r="P26" s="973">
        <f t="shared" si="6"/>
        <v>5577171</v>
      </c>
      <c r="Q26" s="974">
        <f t="shared" si="6"/>
        <v>2077527</v>
      </c>
      <c r="R26" s="975">
        <f t="shared" si="6"/>
        <v>2524011</v>
      </c>
      <c r="S26" s="973">
        <f t="shared" si="6"/>
        <v>2221206</v>
      </c>
      <c r="T26" s="973">
        <f t="shared" si="6"/>
        <v>2586562</v>
      </c>
      <c r="U26" s="974">
        <f t="shared" si="6"/>
        <v>2476381</v>
      </c>
      <c r="V26" s="975">
        <f t="shared" si="6"/>
        <v>270252</v>
      </c>
      <c r="W26" s="973">
        <f t="shared" si="6"/>
        <v>53280</v>
      </c>
      <c r="X26" s="973">
        <f t="shared" si="6"/>
        <v>568649</v>
      </c>
      <c r="Y26" s="974">
        <f t="shared" si="6"/>
        <v>113209</v>
      </c>
      <c r="Z26" s="975">
        <f t="shared" si="6"/>
        <v>155174</v>
      </c>
      <c r="AA26" s="973">
        <f t="shared" si="6"/>
        <v>699749</v>
      </c>
      <c r="AB26" s="973">
        <f t="shared" si="6"/>
        <v>2738102</v>
      </c>
      <c r="AC26" s="974">
        <f t="shared" si="6"/>
        <v>2916237</v>
      </c>
      <c r="AD26" s="975">
        <f t="shared" si="6"/>
        <v>924711</v>
      </c>
      <c r="AE26" s="973">
        <f t="shared" si="6"/>
        <v>1155808</v>
      </c>
      <c r="AF26" s="973">
        <f t="shared" si="6"/>
        <v>3464691</v>
      </c>
      <c r="AG26" s="974">
        <f t="shared" si="6"/>
        <v>3137475</v>
      </c>
      <c r="AH26" s="975">
        <f t="shared" si="6"/>
        <v>485066</v>
      </c>
      <c r="AI26" s="973">
        <f t="shared" si="6"/>
        <v>481793</v>
      </c>
      <c r="AJ26" s="973">
        <f t="shared" si="6"/>
        <v>1698085</v>
      </c>
      <c r="AK26" s="974">
        <f t="shared" si="6"/>
        <v>1119742</v>
      </c>
      <c r="AL26" s="975">
        <f t="shared" si="6"/>
        <v>2070739</v>
      </c>
      <c r="AM26" s="973">
        <f t="shared" si="6"/>
        <v>55609</v>
      </c>
      <c r="AN26" s="973">
        <f t="shared" si="6"/>
        <v>3538753</v>
      </c>
      <c r="AO26" s="974">
        <f t="shared" si="6"/>
        <v>1680142</v>
      </c>
      <c r="AP26" s="975">
        <f t="shared" si="6"/>
        <v>3152219</v>
      </c>
      <c r="AQ26" s="973">
        <f t="shared" si="6"/>
        <v>1549709</v>
      </c>
      <c r="AR26" s="973">
        <f t="shared" si="6"/>
        <v>3464842</v>
      </c>
      <c r="AS26" s="974">
        <f t="shared" si="6"/>
        <v>1687829</v>
      </c>
      <c r="AT26" s="975">
        <f t="shared" si="6"/>
        <v>3688742</v>
      </c>
      <c r="AU26" s="973">
        <f t="shared" si="6"/>
        <v>877373</v>
      </c>
      <c r="AV26" s="975">
        <f>SUM(AV13:AV24)</f>
        <v>5694079</v>
      </c>
      <c r="AW26" s="974">
        <f t="shared" si="6"/>
        <v>1172540</v>
      </c>
      <c r="AX26" s="975">
        <f t="shared" si="6"/>
        <v>23862</v>
      </c>
      <c r="AY26" s="973">
        <f t="shared" si="6"/>
        <v>47209</v>
      </c>
      <c r="AZ26" s="973">
        <f t="shared" si="6"/>
        <v>182314</v>
      </c>
      <c r="BA26" s="974">
        <f t="shared" si="6"/>
        <v>74700</v>
      </c>
      <c r="BB26" s="975">
        <f t="shared" si="6"/>
        <v>449200</v>
      </c>
      <c r="BC26" s="973">
        <f t="shared" si="6"/>
        <v>108787</v>
      </c>
      <c r="BD26" s="973">
        <f t="shared" si="6"/>
        <v>1315158</v>
      </c>
      <c r="BE26" s="974">
        <f t="shared" si="6"/>
        <v>593214</v>
      </c>
      <c r="BF26" s="975">
        <f t="shared" si="6"/>
        <v>101454</v>
      </c>
      <c r="BG26" s="973">
        <f t="shared" si="6"/>
        <v>76896</v>
      </c>
      <c r="BH26" s="973">
        <f t="shared" si="6"/>
        <v>241228</v>
      </c>
      <c r="BI26" s="974">
        <f t="shared" si="6"/>
        <v>141299</v>
      </c>
      <c r="BJ26" s="975">
        <f t="shared" si="6"/>
        <v>191418</v>
      </c>
      <c r="BK26" s="973">
        <f t="shared" si="6"/>
        <v>47847</v>
      </c>
      <c r="BL26" s="973">
        <f t="shared" si="6"/>
        <v>377494</v>
      </c>
      <c r="BM26" s="974">
        <f t="shared" si="6"/>
        <v>23757</v>
      </c>
      <c r="BN26" s="975">
        <f aca="true" t="shared" si="7" ref="BN26:CO26">SUM(BN13:BN24)</f>
        <v>429636</v>
      </c>
      <c r="BO26" s="973">
        <f t="shared" si="7"/>
        <v>253165</v>
      </c>
      <c r="BP26" s="973">
        <f t="shared" si="7"/>
        <v>870070</v>
      </c>
      <c r="BQ26" s="974">
        <f t="shared" si="7"/>
        <v>581939</v>
      </c>
      <c r="BR26" s="975">
        <f t="shared" si="7"/>
        <v>1471711</v>
      </c>
      <c r="BS26" s="973">
        <f t="shared" si="7"/>
        <v>1271610</v>
      </c>
      <c r="BT26" s="973">
        <f t="shared" si="7"/>
        <v>2362960</v>
      </c>
      <c r="BU26" s="974">
        <f t="shared" si="7"/>
        <v>2636262</v>
      </c>
      <c r="BV26" s="975">
        <f t="shared" si="7"/>
        <v>0</v>
      </c>
      <c r="BW26" s="973">
        <f t="shared" si="7"/>
        <v>0</v>
      </c>
      <c r="BX26" s="973">
        <f t="shared" si="7"/>
        <v>0</v>
      </c>
      <c r="BY26" s="974">
        <f t="shared" si="7"/>
        <v>0</v>
      </c>
      <c r="BZ26" s="972">
        <f t="shared" si="7"/>
        <v>1080139</v>
      </c>
      <c r="CA26" s="973">
        <f t="shared" si="7"/>
        <v>832671</v>
      </c>
      <c r="CB26" s="973">
        <f t="shared" si="7"/>
        <v>1448331</v>
      </c>
      <c r="CC26" s="974">
        <f t="shared" si="7"/>
        <v>1084736</v>
      </c>
      <c r="CD26" s="974">
        <f t="shared" si="7"/>
        <v>696141</v>
      </c>
      <c r="CE26" s="974">
        <f t="shared" si="7"/>
        <v>42987</v>
      </c>
      <c r="CF26" s="974">
        <f t="shared" si="7"/>
        <v>721680</v>
      </c>
      <c r="CG26" s="974">
        <f t="shared" si="7"/>
        <v>368042</v>
      </c>
      <c r="CH26" s="975">
        <f t="shared" si="7"/>
        <v>73759</v>
      </c>
      <c r="CI26" s="973">
        <f t="shared" si="7"/>
        <v>89842</v>
      </c>
      <c r="CJ26" s="973">
        <f t="shared" si="7"/>
        <v>330407</v>
      </c>
      <c r="CK26" s="974">
        <f t="shared" si="7"/>
        <v>287225</v>
      </c>
      <c r="CL26" s="975">
        <f t="shared" si="7"/>
        <v>1169142</v>
      </c>
      <c r="CM26" s="973">
        <f t="shared" si="7"/>
        <v>704704</v>
      </c>
      <c r="CN26" s="973">
        <f t="shared" si="7"/>
        <v>1975012</v>
      </c>
      <c r="CO26" s="974">
        <f t="shared" si="7"/>
        <v>1551793</v>
      </c>
      <c r="CP26" s="975">
        <f t="shared" si="2"/>
        <v>24725014</v>
      </c>
      <c r="CQ26" s="972">
        <f t="shared" si="2"/>
        <v>14573225</v>
      </c>
      <c r="CR26" s="972">
        <f t="shared" si="2"/>
        <v>44064298</v>
      </c>
      <c r="CS26" s="976">
        <f t="shared" si="2"/>
        <v>28867493</v>
      </c>
      <c r="CT26" s="972">
        <f>SUM(CT13:CT24)</f>
        <v>1025</v>
      </c>
      <c r="CU26" s="973">
        <f>SUM(CU13:CU24)</f>
        <v>1056</v>
      </c>
      <c r="CV26" s="973">
        <f>SUM(CV13:CV24)</f>
        <v>4206</v>
      </c>
      <c r="CW26" s="974">
        <f>SUM(CW13:CW24)</f>
        <v>3977</v>
      </c>
      <c r="CX26" s="972">
        <f t="shared" si="3"/>
        <v>24726039</v>
      </c>
      <c r="CY26" s="972">
        <f t="shared" si="3"/>
        <v>14574281</v>
      </c>
      <c r="CZ26" s="972">
        <f t="shared" si="3"/>
        <v>44068504</v>
      </c>
      <c r="DA26" s="976">
        <f t="shared" si="3"/>
        <v>28871470</v>
      </c>
    </row>
    <row r="27" spans="1:105" ht="14.25">
      <c r="A27" s="443" t="s">
        <v>165</v>
      </c>
      <c r="B27" s="83">
        <v>296253</v>
      </c>
      <c r="C27" s="344">
        <v>457519</v>
      </c>
      <c r="D27" s="345">
        <v>1256183</v>
      </c>
      <c r="E27" s="646">
        <v>1668317</v>
      </c>
      <c r="F27" s="30">
        <v>85645</v>
      </c>
      <c r="G27" s="26">
        <v>-504814</v>
      </c>
      <c r="H27" s="26">
        <v>-786665</v>
      </c>
      <c r="I27" s="31">
        <v>-1070254</v>
      </c>
      <c r="J27" s="30">
        <v>505796</v>
      </c>
      <c r="K27" s="26">
        <v>26539</v>
      </c>
      <c r="L27" s="26">
        <v>531883</v>
      </c>
      <c r="M27" s="31">
        <v>-520208</v>
      </c>
      <c r="N27" s="30">
        <v>1285909</v>
      </c>
      <c r="O27" s="26">
        <v>1919729</v>
      </c>
      <c r="P27" s="26">
        <v>5808492</v>
      </c>
      <c r="Q27" s="31">
        <v>8066147</v>
      </c>
      <c r="R27" s="30">
        <v>128234</v>
      </c>
      <c r="S27" s="26">
        <v>104546</v>
      </c>
      <c r="T27" s="26">
        <v>-398563</v>
      </c>
      <c r="U27" s="31">
        <v>-727272</v>
      </c>
      <c r="V27" s="30">
        <v>1413941</v>
      </c>
      <c r="W27" s="26">
        <v>1274235</v>
      </c>
      <c r="X27" s="26">
        <v>1651967</v>
      </c>
      <c r="Y27" s="31">
        <v>1678448</v>
      </c>
      <c r="Z27" s="30">
        <v>239604</v>
      </c>
      <c r="AA27" s="26">
        <v>364233</v>
      </c>
      <c r="AB27" s="26">
        <v>979111</v>
      </c>
      <c r="AC27" s="31">
        <v>1215354</v>
      </c>
      <c r="AD27" s="30">
        <v>-676957</v>
      </c>
      <c r="AE27" s="26">
        <v>-970433</v>
      </c>
      <c r="AF27" s="26">
        <v>-2706266</v>
      </c>
      <c r="AG27" s="31">
        <v>-2326957</v>
      </c>
      <c r="AH27" s="30">
        <v>864105</v>
      </c>
      <c r="AI27" s="26">
        <v>742162</v>
      </c>
      <c r="AJ27" s="26">
        <v>120327</v>
      </c>
      <c r="AK27" s="31">
        <v>600248</v>
      </c>
      <c r="AL27" s="30">
        <v>-650483</v>
      </c>
      <c r="AM27" s="26">
        <v>41750</v>
      </c>
      <c r="AN27" s="26">
        <v>-1950741</v>
      </c>
      <c r="AO27" s="31">
        <v>-1433515</v>
      </c>
      <c r="AP27" s="30">
        <v>3452803</v>
      </c>
      <c r="AQ27" s="26">
        <v>3389532</v>
      </c>
      <c r="AR27" s="26">
        <v>12898886</v>
      </c>
      <c r="AS27" s="31">
        <v>11267446</v>
      </c>
      <c r="AT27" s="30">
        <v>2778584</v>
      </c>
      <c r="AU27" s="26">
        <v>3610269</v>
      </c>
      <c r="AV27" s="30">
        <v>11612443</v>
      </c>
      <c r="AW27" s="31">
        <v>17188971</v>
      </c>
      <c r="AX27" s="32">
        <v>1138398</v>
      </c>
      <c r="AY27" s="33">
        <v>718730</v>
      </c>
      <c r="AZ27" s="33">
        <v>1327724</v>
      </c>
      <c r="BA27" s="34">
        <v>1009425</v>
      </c>
      <c r="BB27" s="30">
        <v>784979</v>
      </c>
      <c r="BC27" s="26">
        <v>484271</v>
      </c>
      <c r="BD27" s="26">
        <v>615798</v>
      </c>
      <c r="BE27" s="31">
        <v>512068</v>
      </c>
      <c r="BF27" s="30">
        <v>4197209</v>
      </c>
      <c r="BG27" s="26">
        <v>3220282</v>
      </c>
      <c r="BH27" s="26">
        <v>5305253</v>
      </c>
      <c r="BI27" s="31">
        <v>4345201</v>
      </c>
      <c r="BJ27" s="30">
        <v>2473050</v>
      </c>
      <c r="BK27" s="26">
        <v>2254319</v>
      </c>
      <c r="BL27" s="26">
        <v>6226419</v>
      </c>
      <c r="BM27" s="31">
        <v>6151742</v>
      </c>
      <c r="BN27" s="30">
        <v>727691</v>
      </c>
      <c r="BO27" s="26">
        <v>296256</v>
      </c>
      <c r="BP27" s="26">
        <v>1517189</v>
      </c>
      <c r="BQ27" s="31">
        <v>1416924</v>
      </c>
      <c r="BR27" s="30">
        <v>235163</v>
      </c>
      <c r="BS27" s="26">
        <v>340125</v>
      </c>
      <c r="BT27" s="26">
        <v>254637</v>
      </c>
      <c r="BU27" s="31">
        <v>5314</v>
      </c>
      <c r="BV27" s="333"/>
      <c r="BW27" s="26"/>
      <c r="BX27" s="26"/>
      <c r="BY27" s="31"/>
      <c r="BZ27" s="453">
        <v>4819334</v>
      </c>
      <c r="CA27" s="448">
        <v>3891460</v>
      </c>
      <c r="CB27" s="448">
        <v>13728647</v>
      </c>
      <c r="CC27" s="454">
        <v>11844583</v>
      </c>
      <c r="CD27" s="36">
        <v>477218</v>
      </c>
      <c r="CE27" s="37">
        <v>694626</v>
      </c>
      <c r="CF27" s="37">
        <v>545030</v>
      </c>
      <c r="CG27" s="38">
        <v>931628</v>
      </c>
      <c r="CH27" s="39">
        <v>468651</v>
      </c>
      <c r="CI27" s="40">
        <v>617050</v>
      </c>
      <c r="CJ27" s="40">
        <v>1016048</v>
      </c>
      <c r="CK27" s="41">
        <v>758945</v>
      </c>
      <c r="CL27" s="30">
        <v>170730</v>
      </c>
      <c r="CM27" s="26">
        <v>1158371</v>
      </c>
      <c r="CN27" s="26">
        <v>540310</v>
      </c>
      <c r="CO27" s="31">
        <v>1857234</v>
      </c>
      <c r="CP27" s="20">
        <f t="shared" si="2"/>
        <v>25215857</v>
      </c>
      <c r="CQ27" s="19">
        <f t="shared" si="2"/>
        <v>24130757</v>
      </c>
      <c r="CR27" s="19">
        <f t="shared" si="2"/>
        <v>60094112</v>
      </c>
      <c r="CS27" s="644">
        <f t="shared" si="2"/>
        <v>64439789</v>
      </c>
      <c r="CT27" s="346">
        <v>26646782</v>
      </c>
      <c r="CU27" s="40">
        <v>24275868</v>
      </c>
      <c r="CV27" s="40">
        <v>27034834</v>
      </c>
      <c r="CW27" s="41">
        <v>24594156</v>
      </c>
      <c r="CX27" s="19">
        <f t="shared" si="3"/>
        <v>51862639</v>
      </c>
      <c r="CY27" s="19">
        <f t="shared" si="3"/>
        <v>48406625</v>
      </c>
      <c r="CZ27" s="19">
        <f t="shared" si="3"/>
        <v>87128946</v>
      </c>
      <c r="DA27" s="644">
        <f t="shared" si="3"/>
        <v>89033945</v>
      </c>
    </row>
    <row r="28" spans="1:105" ht="14.25">
      <c r="A28" s="443" t="s">
        <v>166</v>
      </c>
      <c r="B28" s="83">
        <v>-183976</v>
      </c>
      <c r="C28" s="344"/>
      <c r="D28" s="345"/>
      <c r="E28" s="646"/>
      <c r="F28" s="30"/>
      <c r="G28" s="26"/>
      <c r="H28" s="26"/>
      <c r="I28" s="31"/>
      <c r="J28" s="30"/>
      <c r="K28" s="26"/>
      <c r="L28" s="26"/>
      <c r="M28" s="31"/>
      <c r="N28" s="30"/>
      <c r="O28" s="26"/>
      <c r="P28" s="26"/>
      <c r="Q28" s="31"/>
      <c r="R28" s="30"/>
      <c r="S28" s="26"/>
      <c r="T28" s="26"/>
      <c r="U28" s="31"/>
      <c r="V28" s="30"/>
      <c r="W28" s="26"/>
      <c r="X28" s="26"/>
      <c r="Y28" s="31"/>
      <c r="Z28" s="30"/>
      <c r="AA28" s="26"/>
      <c r="AB28" s="26"/>
      <c r="AC28" s="31"/>
      <c r="AD28" s="30"/>
      <c r="AE28" s="26"/>
      <c r="AF28" s="26"/>
      <c r="AG28" s="31"/>
      <c r="AH28" s="30"/>
      <c r="AI28" s="26"/>
      <c r="AJ28" s="26"/>
      <c r="AK28" s="31"/>
      <c r="AL28" s="30"/>
      <c r="AM28" s="26"/>
      <c r="AN28" s="26"/>
      <c r="AO28" s="31"/>
      <c r="AP28" s="30">
        <v>-187293</v>
      </c>
      <c r="AQ28" s="26">
        <v>-78899</v>
      </c>
      <c r="AR28" s="26">
        <v>130947</v>
      </c>
      <c r="AS28" s="31">
        <v>177412</v>
      </c>
      <c r="AT28" s="30">
        <v>-168419</v>
      </c>
      <c r="AU28" s="26">
        <v>-207633</v>
      </c>
      <c r="AV28" s="30">
        <v>-223181</v>
      </c>
      <c r="AW28" s="31">
        <v>-997367</v>
      </c>
      <c r="AX28" s="32"/>
      <c r="AY28" s="33"/>
      <c r="AZ28" s="33"/>
      <c r="BA28" s="34"/>
      <c r="BB28" s="30"/>
      <c r="BC28" s="26"/>
      <c r="BD28" s="26"/>
      <c r="BE28" s="31"/>
      <c r="BF28" s="30">
        <v>54303</v>
      </c>
      <c r="BG28" s="26">
        <v>39514</v>
      </c>
      <c r="BH28" s="26">
        <v>232902</v>
      </c>
      <c r="BI28" s="31">
        <v>211097</v>
      </c>
      <c r="BJ28" s="30">
        <v>12224</v>
      </c>
      <c r="BK28" s="26">
        <v>232129</v>
      </c>
      <c r="BL28" s="26">
        <v>662207</v>
      </c>
      <c r="BM28" s="31">
        <v>875455</v>
      </c>
      <c r="BN28" s="30">
        <v>27411</v>
      </c>
      <c r="BO28" s="26"/>
      <c r="BP28" s="26">
        <v>86064</v>
      </c>
      <c r="BQ28" s="31"/>
      <c r="BR28" s="30"/>
      <c r="BS28" s="26"/>
      <c r="BT28" s="26"/>
      <c r="BU28" s="31"/>
      <c r="BV28" s="333"/>
      <c r="BW28" s="26"/>
      <c r="BX28" s="26"/>
      <c r="BY28" s="31"/>
      <c r="BZ28" s="451"/>
      <c r="CA28" s="447"/>
      <c r="CB28" s="447"/>
      <c r="CC28" s="452"/>
      <c r="CD28" s="36"/>
      <c r="CE28" s="37"/>
      <c r="CF28" s="37"/>
      <c r="CG28" s="38"/>
      <c r="CH28" s="39">
        <v>749</v>
      </c>
      <c r="CI28" s="40"/>
      <c r="CJ28" s="40">
        <v>749</v>
      </c>
      <c r="CK28" s="41"/>
      <c r="CL28" s="30">
        <v>-72362</v>
      </c>
      <c r="CM28" s="26">
        <v>-932</v>
      </c>
      <c r="CN28" s="26">
        <v>-212664</v>
      </c>
      <c r="CO28" s="31">
        <v>-158439</v>
      </c>
      <c r="CP28" s="20">
        <f t="shared" si="2"/>
        <v>-517363</v>
      </c>
      <c r="CQ28" s="19">
        <f t="shared" si="2"/>
        <v>-15821</v>
      </c>
      <c r="CR28" s="19">
        <f t="shared" si="2"/>
        <v>677024</v>
      </c>
      <c r="CS28" s="644">
        <f t="shared" si="2"/>
        <v>108158</v>
      </c>
      <c r="CT28" s="346">
        <v>14267</v>
      </c>
      <c r="CU28" s="40">
        <v>19949</v>
      </c>
      <c r="CV28" s="40">
        <v>149868</v>
      </c>
      <c r="CW28" s="41">
        <v>130102</v>
      </c>
      <c r="CX28" s="19">
        <f t="shared" si="3"/>
        <v>-503096</v>
      </c>
      <c r="CY28" s="19">
        <f t="shared" si="3"/>
        <v>4128</v>
      </c>
      <c r="CZ28" s="19">
        <f t="shared" si="3"/>
        <v>826892</v>
      </c>
      <c r="DA28" s="644">
        <f t="shared" si="3"/>
        <v>238260</v>
      </c>
    </row>
    <row r="29" spans="1:105" ht="14.25">
      <c r="A29" s="443" t="s">
        <v>167</v>
      </c>
      <c r="B29" s="647"/>
      <c r="C29" s="344"/>
      <c r="D29" s="345"/>
      <c r="E29" s="646"/>
      <c r="F29" s="30"/>
      <c r="G29" s="26"/>
      <c r="H29" s="26"/>
      <c r="I29" s="31"/>
      <c r="J29" s="30"/>
      <c r="K29" s="26"/>
      <c r="L29" s="26"/>
      <c r="M29" s="31"/>
      <c r="N29" s="30">
        <v>166996</v>
      </c>
      <c r="O29" s="26">
        <v>208095</v>
      </c>
      <c r="P29" s="26">
        <v>789866</v>
      </c>
      <c r="Q29" s="31">
        <v>904990</v>
      </c>
      <c r="R29" s="30"/>
      <c r="S29" s="26"/>
      <c r="T29" s="26"/>
      <c r="U29" s="31"/>
      <c r="V29" s="30"/>
      <c r="W29" s="26"/>
      <c r="X29" s="26"/>
      <c r="Y29" s="31"/>
      <c r="Z29" s="30">
        <v>-31149</v>
      </c>
      <c r="AA29" s="26">
        <v>-46895</v>
      </c>
      <c r="AB29" s="26">
        <v>-127285</v>
      </c>
      <c r="AC29" s="31">
        <v>-156476</v>
      </c>
      <c r="AD29" s="30"/>
      <c r="AE29" s="26"/>
      <c r="AF29" s="26"/>
      <c r="AG29" s="31"/>
      <c r="AH29" s="30">
        <v>29532</v>
      </c>
      <c r="AI29" s="26">
        <v>2082</v>
      </c>
      <c r="AJ29" s="26">
        <v>29532</v>
      </c>
      <c r="AK29" s="31">
        <v>2082</v>
      </c>
      <c r="AL29" s="30"/>
      <c r="AM29" s="26"/>
      <c r="AN29" s="26"/>
      <c r="AO29" s="31"/>
      <c r="AP29" s="30"/>
      <c r="AQ29" s="26"/>
      <c r="AR29" s="26"/>
      <c r="AS29" s="31"/>
      <c r="AT29" s="30"/>
      <c r="AU29" s="26">
        <v>-9</v>
      </c>
      <c r="AV29" s="30"/>
      <c r="AW29" s="31">
        <v>49</v>
      </c>
      <c r="AX29" s="32"/>
      <c r="AY29" s="33"/>
      <c r="AZ29" s="33"/>
      <c r="BA29" s="34"/>
      <c r="BB29" s="30"/>
      <c r="BC29" s="26"/>
      <c r="BD29" s="26"/>
      <c r="BE29" s="31"/>
      <c r="BF29" s="30"/>
      <c r="BG29" s="26"/>
      <c r="BH29" s="26"/>
      <c r="BI29" s="31"/>
      <c r="BJ29" s="30"/>
      <c r="BK29" s="26"/>
      <c r="BL29" s="26"/>
      <c r="BM29" s="31"/>
      <c r="BN29" s="30"/>
      <c r="BO29" s="26"/>
      <c r="BP29" s="26"/>
      <c r="BQ29" s="31"/>
      <c r="BR29" s="30"/>
      <c r="BS29" s="26"/>
      <c r="BT29" s="26"/>
      <c r="BU29" s="31"/>
      <c r="BV29" s="333"/>
      <c r="BW29" s="26"/>
      <c r="BX29" s="26"/>
      <c r="BY29" s="31"/>
      <c r="BZ29" s="451"/>
      <c r="CA29" s="447"/>
      <c r="CB29" s="447"/>
      <c r="CC29" s="452"/>
      <c r="CD29" s="36"/>
      <c r="CE29" s="37"/>
      <c r="CF29" s="37"/>
      <c r="CG29" s="38"/>
      <c r="CH29" s="39"/>
      <c r="CI29" s="40"/>
      <c r="CJ29" s="40"/>
      <c r="CK29" s="41"/>
      <c r="CL29" s="30"/>
      <c r="CM29" s="26"/>
      <c r="CN29" s="26"/>
      <c r="CO29" s="31"/>
      <c r="CP29" s="20">
        <f t="shared" si="2"/>
        <v>165379</v>
      </c>
      <c r="CQ29" s="19">
        <f t="shared" si="2"/>
        <v>163273</v>
      </c>
      <c r="CR29" s="19">
        <f t="shared" si="2"/>
        <v>692113</v>
      </c>
      <c r="CS29" s="644">
        <f t="shared" si="2"/>
        <v>750645</v>
      </c>
      <c r="CT29" s="346"/>
      <c r="CU29" s="40"/>
      <c r="CV29" s="40"/>
      <c r="CW29" s="41"/>
      <c r="CX29" s="19">
        <f t="shared" si="3"/>
        <v>165379</v>
      </c>
      <c r="CY29" s="19">
        <f t="shared" si="3"/>
        <v>163273</v>
      </c>
      <c r="CZ29" s="19">
        <f t="shared" si="3"/>
        <v>692113</v>
      </c>
      <c r="DA29" s="644">
        <f t="shared" si="3"/>
        <v>750645</v>
      </c>
    </row>
    <row r="30" spans="1:105" ht="14.25">
      <c r="A30" s="443" t="s">
        <v>168</v>
      </c>
      <c r="B30" s="648"/>
      <c r="C30" s="344"/>
      <c r="D30" s="345"/>
      <c r="E30" s="646"/>
      <c r="F30" s="30"/>
      <c r="G30" s="26"/>
      <c r="H30" s="26"/>
      <c r="I30" s="31"/>
      <c r="J30" s="30"/>
      <c r="K30" s="26"/>
      <c r="L30" s="26"/>
      <c r="M30" s="31"/>
      <c r="N30" s="30"/>
      <c r="O30" s="26"/>
      <c r="P30" s="26"/>
      <c r="Q30" s="31"/>
      <c r="R30" s="30"/>
      <c r="S30" s="26"/>
      <c r="T30" s="26"/>
      <c r="U30" s="31"/>
      <c r="V30" s="30"/>
      <c r="W30" s="26"/>
      <c r="X30" s="26"/>
      <c r="Y30" s="31"/>
      <c r="Z30" s="30"/>
      <c r="AA30" s="26"/>
      <c r="AB30" s="26"/>
      <c r="AC30" s="31"/>
      <c r="AD30" s="30"/>
      <c r="AE30" s="26"/>
      <c r="AF30" s="26"/>
      <c r="AG30" s="31"/>
      <c r="AH30" s="30"/>
      <c r="AI30" s="26"/>
      <c r="AJ30" s="26"/>
      <c r="AK30" s="31"/>
      <c r="AL30" s="30"/>
      <c r="AM30" s="26"/>
      <c r="AN30" s="26"/>
      <c r="AO30" s="31"/>
      <c r="AP30" s="30"/>
      <c r="AQ30" s="26"/>
      <c r="AR30" s="26"/>
      <c r="AS30" s="31"/>
      <c r="AT30" s="30"/>
      <c r="AU30" s="26"/>
      <c r="AV30" s="30"/>
      <c r="AW30" s="31"/>
      <c r="AX30" s="32"/>
      <c r="AY30" s="33"/>
      <c r="AZ30" s="33"/>
      <c r="BA30" s="34"/>
      <c r="BB30" s="30"/>
      <c r="BC30" s="26"/>
      <c r="BD30" s="26"/>
      <c r="BE30" s="31"/>
      <c r="BF30" s="30"/>
      <c r="BG30" s="26"/>
      <c r="BH30" s="26"/>
      <c r="BI30" s="31"/>
      <c r="BJ30" s="30"/>
      <c r="BK30" s="26"/>
      <c r="BL30" s="26"/>
      <c r="BM30" s="31"/>
      <c r="BN30" s="30"/>
      <c r="BO30" s="26"/>
      <c r="BP30" s="26"/>
      <c r="BQ30" s="31"/>
      <c r="BR30" s="30"/>
      <c r="BS30" s="26"/>
      <c r="BT30" s="26"/>
      <c r="BU30" s="31"/>
      <c r="BV30" s="333"/>
      <c r="BW30" s="26"/>
      <c r="BX30" s="26"/>
      <c r="BY30" s="31"/>
      <c r="BZ30" s="453">
        <v>242566</v>
      </c>
      <c r="CA30" s="448">
        <v>79410</v>
      </c>
      <c r="CB30" s="448">
        <v>460683</v>
      </c>
      <c r="CC30" s="454">
        <v>340661</v>
      </c>
      <c r="CD30" s="36"/>
      <c r="CE30" s="37"/>
      <c r="CF30" s="37"/>
      <c r="CG30" s="38"/>
      <c r="CH30" s="39"/>
      <c r="CI30" s="40"/>
      <c r="CJ30" s="40"/>
      <c r="CK30" s="41"/>
      <c r="CL30" s="30"/>
      <c r="CM30" s="26"/>
      <c r="CN30" s="26"/>
      <c r="CO30" s="31"/>
      <c r="CP30" s="20">
        <f t="shared" si="2"/>
        <v>242566</v>
      </c>
      <c r="CQ30" s="19">
        <f t="shared" si="2"/>
        <v>79410</v>
      </c>
      <c r="CR30" s="19">
        <f t="shared" si="2"/>
        <v>460683</v>
      </c>
      <c r="CS30" s="644">
        <f t="shared" si="2"/>
        <v>340661</v>
      </c>
      <c r="CT30" s="346"/>
      <c r="CU30" s="40"/>
      <c r="CV30" s="40"/>
      <c r="CW30" s="41"/>
      <c r="CX30" s="19">
        <f t="shared" si="3"/>
        <v>242566</v>
      </c>
      <c r="CY30" s="19">
        <f t="shared" si="3"/>
        <v>79410</v>
      </c>
      <c r="CZ30" s="19">
        <f t="shared" si="3"/>
        <v>460683</v>
      </c>
      <c r="DA30" s="644">
        <f t="shared" si="3"/>
        <v>340661</v>
      </c>
    </row>
    <row r="31" spans="1:105" ht="14.25">
      <c r="A31" s="443" t="s">
        <v>169</v>
      </c>
      <c r="B31" s="83">
        <v>480229</v>
      </c>
      <c r="C31" s="344">
        <v>457519</v>
      </c>
      <c r="D31" s="345">
        <v>1256183</v>
      </c>
      <c r="E31" s="646">
        <v>1668317</v>
      </c>
      <c r="F31" s="30">
        <v>85645</v>
      </c>
      <c r="G31" s="26">
        <v>-504814</v>
      </c>
      <c r="H31" s="26">
        <v>-786665</v>
      </c>
      <c r="I31" s="31">
        <v>-1070254</v>
      </c>
      <c r="J31" s="30">
        <v>505796</v>
      </c>
      <c r="K31" s="26">
        <v>26539</v>
      </c>
      <c r="L31" s="26">
        <v>531883</v>
      </c>
      <c r="M31" s="31">
        <v>-520208</v>
      </c>
      <c r="N31" s="30"/>
      <c r="O31" s="26"/>
      <c r="P31" s="26"/>
      <c r="Q31" s="31"/>
      <c r="R31" s="30">
        <v>128234</v>
      </c>
      <c r="S31" s="30">
        <v>104546</v>
      </c>
      <c r="T31" s="30">
        <v>-398563</v>
      </c>
      <c r="U31" s="655">
        <v>-727272</v>
      </c>
      <c r="V31" s="30">
        <f>V27</f>
        <v>1413941</v>
      </c>
      <c r="W31" s="30">
        <f>W27</f>
        <v>1274235</v>
      </c>
      <c r="X31" s="26">
        <f>X27</f>
        <v>1651967</v>
      </c>
      <c r="Y31" s="26">
        <f>Y27</f>
        <v>1678448</v>
      </c>
      <c r="Z31" s="30">
        <v>208455</v>
      </c>
      <c r="AA31" s="26">
        <v>317338</v>
      </c>
      <c r="AB31" s="26">
        <v>851827</v>
      </c>
      <c r="AC31" s="31">
        <v>1058878</v>
      </c>
      <c r="AD31" s="30">
        <v>-676957</v>
      </c>
      <c r="AE31" s="26">
        <v>-970433</v>
      </c>
      <c r="AF31" s="26">
        <v>-2706266</v>
      </c>
      <c r="AG31" s="31">
        <v>-2326957</v>
      </c>
      <c r="AH31" s="30">
        <v>893637</v>
      </c>
      <c r="AI31" s="26">
        <v>744244</v>
      </c>
      <c r="AJ31" s="26">
        <v>149860</v>
      </c>
      <c r="AK31" s="31">
        <v>602330</v>
      </c>
      <c r="AL31" s="30">
        <f>AL27</f>
        <v>-650483</v>
      </c>
      <c r="AM31" s="26">
        <f>AM27</f>
        <v>41750</v>
      </c>
      <c r="AN31" s="26">
        <f>AN27</f>
        <v>-1950741</v>
      </c>
      <c r="AO31" s="31">
        <f>AO27</f>
        <v>-1433515</v>
      </c>
      <c r="AP31" s="30">
        <v>3640096</v>
      </c>
      <c r="AQ31" s="26">
        <v>3468431</v>
      </c>
      <c r="AR31" s="26">
        <v>12767939</v>
      </c>
      <c r="AS31" s="31">
        <v>11090034</v>
      </c>
      <c r="AT31" s="30">
        <v>2610165</v>
      </c>
      <c r="AU31" s="26">
        <v>3402627</v>
      </c>
      <c r="AV31" s="30">
        <v>11389262</v>
      </c>
      <c r="AW31" s="31">
        <v>16191653</v>
      </c>
      <c r="AX31" s="32">
        <v>1138398</v>
      </c>
      <c r="AY31" s="33">
        <v>718730</v>
      </c>
      <c r="AZ31" s="33">
        <v>1327724</v>
      </c>
      <c r="BA31" s="34">
        <v>1009425</v>
      </c>
      <c r="BB31" s="30">
        <v>784979</v>
      </c>
      <c r="BC31" s="26">
        <v>484271</v>
      </c>
      <c r="BD31" s="26">
        <v>615708</v>
      </c>
      <c r="BE31" s="31">
        <v>512068</v>
      </c>
      <c r="BF31" s="30">
        <v>4142906</v>
      </c>
      <c r="BG31" s="26">
        <v>3180768</v>
      </c>
      <c r="BH31" s="26">
        <v>5072351</v>
      </c>
      <c r="BI31" s="31">
        <v>4134104</v>
      </c>
      <c r="BJ31" s="30">
        <v>2460826</v>
      </c>
      <c r="BK31" s="26">
        <v>2022190</v>
      </c>
      <c r="BL31" s="26">
        <v>5564212</v>
      </c>
      <c r="BM31" s="31">
        <v>5276287</v>
      </c>
      <c r="BN31" s="30">
        <v>700280</v>
      </c>
      <c r="BO31" s="26">
        <v>296256</v>
      </c>
      <c r="BP31" s="26">
        <v>1431125</v>
      </c>
      <c r="BQ31" s="31">
        <v>1416924</v>
      </c>
      <c r="BR31" s="30">
        <v>235163</v>
      </c>
      <c r="BS31" s="26">
        <v>340125</v>
      </c>
      <c r="BT31" s="26">
        <v>254637</v>
      </c>
      <c r="BU31" s="31">
        <v>5314</v>
      </c>
      <c r="BV31" s="333"/>
      <c r="BW31" s="26"/>
      <c r="BX31" s="26"/>
      <c r="BY31" s="31"/>
      <c r="BZ31" s="453">
        <v>4576768</v>
      </c>
      <c r="CA31" s="448">
        <v>3812050</v>
      </c>
      <c r="CB31" s="448">
        <v>13267964</v>
      </c>
      <c r="CC31" s="454">
        <v>11844583</v>
      </c>
      <c r="CD31" s="36">
        <v>-93432</v>
      </c>
      <c r="CE31" s="37">
        <v>16563</v>
      </c>
      <c r="CF31" s="37">
        <v>-83284</v>
      </c>
      <c r="CG31" s="38">
        <v>52862</v>
      </c>
      <c r="CH31" s="39">
        <v>467902</v>
      </c>
      <c r="CI31" s="346">
        <v>617050</v>
      </c>
      <c r="CJ31" s="346">
        <v>1015299</v>
      </c>
      <c r="CK31" s="465">
        <v>758945</v>
      </c>
      <c r="CL31" s="30">
        <v>98368</v>
      </c>
      <c r="CM31" s="26">
        <v>1157439</v>
      </c>
      <c r="CN31" s="26">
        <v>327646</v>
      </c>
      <c r="CO31" s="31">
        <v>1698795</v>
      </c>
      <c r="CP31" s="20">
        <f t="shared" si="2"/>
        <v>23150916</v>
      </c>
      <c r="CQ31" s="19">
        <f t="shared" si="2"/>
        <v>21007424</v>
      </c>
      <c r="CR31" s="19">
        <f t="shared" si="2"/>
        <v>51550068</v>
      </c>
      <c r="CS31" s="644">
        <f t="shared" si="2"/>
        <v>52920761</v>
      </c>
      <c r="CT31" s="346">
        <v>26632515</v>
      </c>
      <c r="CU31" s="40">
        <v>24255919</v>
      </c>
      <c r="CV31" s="40">
        <v>26884966</v>
      </c>
      <c r="CW31" s="41">
        <v>24464054</v>
      </c>
      <c r="CX31" s="19">
        <f t="shared" si="3"/>
        <v>49783431</v>
      </c>
      <c r="CY31" s="19">
        <f t="shared" si="3"/>
        <v>45263343</v>
      </c>
      <c r="CZ31" s="19">
        <f t="shared" si="3"/>
        <v>78435034</v>
      </c>
      <c r="DA31" s="644">
        <f t="shared" si="3"/>
        <v>77384815</v>
      </c>
    </row>
    <row r="32" spans="1:105" ht="14.25">
      <c r="A32" s="444" t="s">
        <v>170</v>
      </c>
      <c r="B32" s="19"/>
      <c r="C32" s="18"/>
      <c r="D32" s="343"/>
      <c r="E32" s="645"/>
      <c r="F32" s="50"/>
      <c r="G32" s="47"/>
      <c r="H32" s="47"/>
      <c r="I32" s="51"/>
      <c r="J32" s="50"/>
      <c r="K32" s="47"/>
      <c r="L32" s="47"/>
      <c r="M32" s="51"/>
      <c r="N32" s="50"/>
      <c r="O32" s="47"/>
      <c r="P32" s="47"/>
      <c r="Q32" s="51"/>
      <c r="R32" s="50"/>
      <c r="S32" s="47"/>
      <c r="T32" s="47"/>
      <c r="U32" s="51"/>
      <c r="V32" s="50"/>
      <c r="W32" s="47"/>
      <c r="X32" s="47"/>
      <c r="Y32" s="51"/>
      <c r="Z32" s="50"/>
      <c r="AA32" s="47"/>
      <c r="AB32" s="47"/>
      <c r="AC32" s="51"/>
      <c r="AD32" s="468"/>
      <c r="AE32" s="468"/>
      <c r="AF32" s="468"/>
      <c r="AG32" s="51"/>
      <c r="AH32" s="50"/>
      <c r="AI32" s="47"/>
      <c r="AJ32" s="47"/>
      <c r="AK32" s="51"/>
      <c r="AL32" s="50"/>
      <c r="AM32" s="47"/>
      <c r="AN32" s="47"/>
      <c r="AO32" s="51"/>
      <c r="AP32" s="50"/>
      <c r="AQ32" s="47"/>
      <c r="AR32" s="47"/>
      <c r="AS32" s="51"/>
      <c r="AT32" s="50"/>
      <c r="AU32" s="47"/>
      <c r="AV32" s="50"/>
      <c r="AW32" s="51"/>
      <c r="AX32" s="32"/>
      <c r="AY32" s="33"/>
      <c r="AZ32" s="33"/>
      <c r="BA32" s="34"/>
      <c r="BB32" s="50"/>
      <c r="BC32" s="47"/>
      <c r="BD32" s="47"/>
      <c r="BE32" s="51"/>
      <c r="BF32" s="52"/>
      <c r="BG32" s="53"/>
      <c r="BH32" s="53"/>
      <c r="BI32" s="54"/>
      <c r="BJ32" s="50"/>
      <c r="BK32" s="47"/>
      <c r="BL32" s="47"/>
      <c r="BM32" s="51"/>
      <c r="BN32" s="50"/>
      <c r="BO32" s="47"/>
      <c r="BP32" s="47"/>
      <c r="BQ32" s="51"/>
      <c r="BR32" s="50"/>
      <c r="BS32" s="47"/>
      <c r="BT32" s="47"/>
      <c r="BU32" s="51"/>
      <c r="BV32" s="333"/>
      <c r="BW32" s="26"/>
      <c r="BX32" s="26"/>
      <c r="BY32" s="31"/>
      <c r="BZ32" s="451"/>
      <c r="CA32" s="447"/>
      <c r="CB32" s="447"/>
      <c r="CC32" s="452"/>
      <c r="CD32" s="36"/>
      <c r="CE32" s="37"/>
      <c r="CF32" s="37"/>
      <c r="CG32" s="38"/>
      <c r="CH32" s="39"/>
      <c r="CI32" s="40"/>
      <c r="CJ32" s="40"/>
      <c r="CK32" s="41"/>
      <c r="CL32" s="50"/>
      <c r="CM32" s="47"/>
      <c r="CN32" s="47"/>
      <c r="CO32" s="51"/>
      <c r="CP32" s="20">
        <f t="shared" si="2"/>
        <v>0</v>
      </c>
      <c r="CQ32" s="19">
        <f t="shared" si="2"/>
        <v>0</v>
      </c>
      <c r="CR32" s="19">
        <f t="shared" si="2"/>
        <v>0</v>
      </c>
      <c r="CS32" s="644">
        <f t="shared" si="2"/>
        <v>0</v>
      </c>
      <c r="CT32" s="48"/>
      <c r="CU32" s="47"/>
      <c r="CV32" s="47"/>
      <c r="CW32" s="51"/>
      <c r="CX32" s="19">
        <f t="shared" si="3"/>
        <v>0</v>
      </c>
      <c r="CY32" s="19">
        <f t="shared" si="3"/>
        <v>0</v>
      </c>
      <c r="CZ32" s="19">
        <f t="shared" si="3"/>
        <v>0</v>
      </c>
      <c r="DA32" s="644">
        <f t="shared" si="3"/>
        <v>0</v>
      </c>
    </row>
    <row r="33" spans="1:105" ht="28.5">
      <c r="A33" s="443" t="s">
        <v>171</v>
      </c>
      <c r="B33" s="83">
        <v>-1609863</v>
      </c>
      <c r="C33" s="344">
        <v>-2843336</v>
      </c>
      <c r="D33" s="345">
        <v>-2385817</v>
      </c>
      <c r="E33" s="646">
        <v>-4054134</v>
      </c>
      <c r="F33" s="30">
        <v>-5456386</v>
      </c>
      <c r="G33" s="26">
        <v>-4079263</v>
      </c>
      <c r="H33" s="26">
        <v>-4584077</v>
      </c>
      <c r="I33" s="31">
        <v>-3513823</v>
      </c>
      <c r="J33" s="30">
        <v>-13505451</v>
      </c>
      <c r="K33" s="26">
        <v>-12985243</v>
      </c>
      <c r="L33" s="26">
        <v>-13505451</v>
      </c>
      <c r="M33" s="31">
        <v>-12985243</v>
      </c>
      <c r="N33" s="30">
        <v>82274719</v>
      </c>
      <c r="O33" s="26">
        <v>1711634</v>
      </c>
      <c r="P33" s="26">
        <v>79646821</v>
      </c>
      <c r="Q33" s="31">
        <v>72485663</v>
      </c>
      <c r="R33" s="30">
        <v>-25056444</v>
      </c>
      <c r="S33" s="26">
        <v>-24634204</v>
      </c>
      <c r="T33" s="26">
        <v>-24529658</v>
      </c>
      <c r="U33" s="31">
        <v>-23802386</v>
      </c>
      <c r="V33" s="30">
        <v>-1359733</v>
      </c>
      <c r="W33" s="26">
        <v>-2871993</v>
      </c>
      <c r="X33" s="26">
        <v>-1597759</v>
      </c>
      <c r="Y33" s="31">
        <v>-3276206</v>
      </c>
      <c r="Z33" s="30"/>
      <c r="AA33" s="26"/>
      <c r="AB33" s="26">
        <v>-2480527</v>
      </c>
      <c r="AC33" s="31">
        <v>-3539405</v>
      </c>
      <c r="AD33" s="50">
        <v>-10404477</v>
      </c>
      <c r="AE33" s="47">
        <v>-7404732</v>
      </c>
      <c r="AF33" s="47">
        <v>-8375165</v>
      </c>
      <c r="AG33" s="31">
        <v>-6048207</v>
      </c>
      <c r="AH33" s="30">
        <v>-8152106</v>
      </c>
      <c r="AI33" s="26">
        <v>-8152573</v>
      </c>
      <c r="AJ33" s="26">
        <v>-7408329</v>
      </c>
      <c r="AK33" s="31">
        <v>-8010659</v>
      </c>
      <c r="AL33" s="30">
        <v>-15982880</v>
      </c>
      <c r="AM33" s="26">
        <v>-14724372</v>
      </c>
      <c r="AN33" s="26">
        <v>-14682622</v>
      </c>
      <c r="AO33" s="31">
        <v>-13249107</v>
      </c>
      <c r="AP33" s="30">
        <v>33064369</v>
      </c>
      <c r="AQ33" s="26">
        <v>20468095</v>
      </c>
      <c r="AR33" s="26">
        <v>23936526</v>
      </c>
      <c r="AS33" s="31">
        <v>16134918</v>
      </c>
      <c r="AT33" s="30">
        <v>17232531</v>
      </c>
      <c r="AU33" s="26">
        <v>13530988</v>
      </c>
      <c r="AV33" s="30">
        <v>16933615</v>
      </c>
      <c r="AW33" s="31">
        <v>12662916</v>
      </c>
      <c r="AX33" s="39">
        <v>-12187</v>
      </c>
      <c r="AY33" s="40">
        <v>-920240</v>
      </c>
      <c r="AZ33" s="40">
        <v>-201512</v>
      </c>
      <c r="BA33" s="41">
        <v>-1210935</v>
      </c>
      <c r="BB33" s="30">
        <v>-1753642</v>
      </c>
      <c r="BC33" s="26">
        <v>-2018643</v>
      </c>
      <c r="BD33" s="26">
        <v>-1584371</v>
      </c>
      <c r="BE33" s="31">
        <v>-2046440</v>
      </c>
      <c r="BF33" s="30"/>
      <c r="BG33" s="26"/>
      <c r="BH33" s="26">
        <v>16758003</v>
      </c>
      <c r="BI33" s="31">
        <v>12623899</v>
      </c>
      <c r="BJ33" s="30"/>
      <c r="BK33" s="26"/>
      <c r="BL33" s="26">
        <v>6762696</v>
      </c>
      <c r="BM33" s="31">
        <v>4927471</v>
      </c>
      <c r="BN33" s="30">
        <v>-8645630</v>
      </c>
      <c r="BO33" s="26">
        <v>-9672731</v>
      </c>
      <c r="BP33" s="26">
        <v>-9376475</v>
      </c>
      <c r="BQ33" s="31">
        <v>2209952</v>
      </c>
      <c r="BR33" s="30">
        <v>-2559253</v>
      </c>
      <c r="BS33" s="26">
        <v>-2918852</v>
      </c>
      <c r="BT33" s="26">
        <v>-2578727</v>
      </c>
      <c r="BU33" s="31">
        <v>-2584041</v>
      </c>
      <c r="BV33" s="333"/>
      <c r="BW33" s="26"/>
      <c r="BX33" s="26"/>
      <c r="BY33" s="31"/>
      <c r="BZ33" s="453">
        <v>62435776</v>
      </c>
      <c r="CA33" s="448">
        <v>52339681</v>
      </c>
      <c r="CB33" s="448">
        <v>53744580</v>
      </c>
      <c r="CC33" s="454">
        <v>44647810</v>
      </c>
      <c r="CD33" s="36">
        <v>4110476</v>
      </c>
      <c r="CE33" s="37">
        <v>3580428</v>
      </c>
      <c r="CF33" s="37">
        <v>4057512</v>
      </c>
      <c r="CG33" s="38">
        <v>3424344</v>
      </c>
      <c r="CH33" s="39">
        <v>320761</v>
      </c>
      <c r="CI33" s="40">
        <v>-843686</v>
      </c>
      <c r="CJ33" s="40">
        <v>-226636</v>
      </c>
      <c r="CK33" s="41">
        <v>-985581</v>
      </c>
      <c r="CL33" s="30">
        <v>802618</v>
      </c>
      <c r="CM33" s="26">
        <v>-584099</v>
      </c>
      <c r="CN33" s="26">
        <v>573340</v>
      </c>
      <c r="CO33" s="31">
        <v>-1125455</v>
      </c>
      <c r="CP33" s="20">
        <f t="shared" si="2"/>
        <v>105743198</v>
      </c>
      <c r="CQ33" s="19">
        <f t="shared" si="2"/>
        <v>-3023141</v>
      </c>
      <c r="CR33" s="19">
        <f t="shared" si="2"/>
        <v>108895967</v>
      </c>
      <c r="CS33" s="644">
        <f t="shared" si="2"/>
        <v>82685351</v>
      </c>
      <c r="CT33" s="28"/>
      <c r="CU33" s="26"/>
      <c r="CV33" s="26"/>
      <c r="CW33" s="31"/>
      <c r="CX33" s="19">
        <f t="shared" si="3"/>
        <v>105743198</v>
      </c>
      <c r="CY33" s="19">
        <f t="shared" si="3"/>
        <v>-3023141</v>
      </c>
      <c r="CZ33" s="19">
        <f t="shared" si="3"/>
        <v>108895967</v>
      </c>
      <c r="DA33" s="644">
        <f t="shared" si="3"/>
        <v>82685351</v>
      </c>
    </row>
    <row r="34" spans="1:105" ht="28.5">
      <c r="A34" s="443" t="s">
        <v>172</v>
      </c>
      <c r="B34" s="83"/>
      <c r="C34" s="344"/>
      <c r="D34" s="345"/>
      <c r="E34" s="646"/>
      <c r="F34" s="30"/>
      <c r="G34" s="26"/>
      <c r="H34" s="26"/>
      <c r="I34" s="31"/>
      <c r="J34" s="30"/>
      <c r="K34" s="26"/>
      <c r="L34" s="26"/>
      <c r="M34" s="31"/>
      <c r="N34" s="30"/>
      <c r="O34" s="26"/>
      <c r="P34" s="26"/>
      <c r="Q34" s="31"/>
      <c r="R34" s="30"/>
      <c r="S34" s="26"/>
      <c r="T34" s="26"/>
      <c r="U34" s="31"/>
      <c r="V34" s="30"/>
      <c r="W34" s="26"/>
      <c r="X34" s="26"/>
      <c r="Y34" s="31"/>
      <c r="Z34" s="30"/>
      <c r="AA34" s="26"/>
      <c r="AB34" s="26"/>
      <c r="AC34" s="31"/>
      <c r="AD34" s="30"/>
      <c r="AE34" s="26"/>
      <c r="AF34" s="26"/>
      <c r="AG34" s="31"/>
      <c r="AH34" s="30"/>
      <c r="AI34" s="26"/>
      <c r="AJ34" s="26"/>
      <c r="AK34" s="31"/>
      <c r="AL34" s="30"/>
      <c r="AM34" s="26"/>
      <c r="AN34" s="26"/>
      <c r="AO34" s="31"/>
      <c r="AP34" s="30">
        <v>-3288293</v>
      </c>
      <c r="AQ34" s="26"/>
      <c r="AR34" s="26">
        <v>-3288293</v>
      </c>
      <c r="AS34" s="31">
        <v>-2732204</v>
      </c>
      <c r="AT34" s="30"/>
      <c r="AU34" s="26"/>
      <c r="AV34" s="30">
        <v>2296935</v>
      </c>
      <c r="AW34" s="31">
        <v>4880653</v>
      </c>
      <c r="AX34" s="39"/>
      <c r="AY34" s="40"/>
      <c r="AZ34" s="40"/>
      <c r="BA34" s="41"/>
      <c r="BB34" s="30"/>
      <c r="BC34" s="26"/>
      <c r="BD34" s="26"/>
      <c r="BE34" s="31"/>
      <c r="BF34" s="30"/>
      <c r="BG34" s="26"/>
      <c r="BH34" s="26"/>
      <c r="BI34" s="31"/>
      <c r="BJ34" s="30"/>
      <c r="BK34" s="26"/>
      <c r="BL34" s="26">
        <v>2340952</v>
      </c>
      <c r="BM34" s="31">
        <v>1630991</v>
      </c>
      <c r="BN34" s="30"/>
      <c r="BO34" s="26"/>
      <c r="BP34" s="26"/>
      <c r="BQ34" s="31"/>
      <c r="BR34" s="30"/>
      <c r="BS34" s="26"/>
      <c r="BT34" s="26"/>
      <c r="BU34" s="31"/>
      <c r="BV34" s="333"/>
      <c r="BW34" s="26"/>
      <c r="BX34" s="26"/>
      <c r="BY34" s="31"/>
      <c r="BZ34" s="455">
        <v>2000000</v>
      </c>
      <c r="CA34" s="449">
        <v>2000000</v>
      </c>
      <c r="CB34" s="449">
        <v>2000000</v>
      </c>
      <c r="CC34" s="456">
        <v>2000000</v>
      </c>
      <c r="CD34" s="36">
        <v>179375</v>
      </c>
      <c r="CE34" s="37">
        <v>166819</v>
      </c>
      <c r="CF34" s="37">
        <v>179375</v>
      </c>
      <c r="CG34" s="38">
        <v>200900</v>
      </c>
      <c r="CH34" s="39">
        <v>51793</v>
      </c>
      <c r="CI34" s="40"/>
      <c r="CJ34" s="40">
        <v>51793</v>
      </c>
      <c r="CK34" s="41"/>
      <c r="CL34" s="30"/>
      <c r="CM34" s="26"/>
      <c r="CN34" s="26"/>
      <c r="CO34" s="31"/>
      <c r="CP34" s="20">
        <f t="shared" si="2"/>
        <v>-1057125</v>
      </c>
      <c r="CQ34" s="19">
        <f t="shared" si="2"/>
        <v>2166819</v>
      </c>
      <c r="CR34" s="19">
        <f t="shared" si="2"/>
        <v>3580762</v>
      </c>
      <c r="CS34" s="644">
        <f t="shared" si="2"/>
        <v>5980340</v>
      </c>
      <c r="CT34" s="28"/>
      <c r="CU34" s="26"/>
      <c r="CV34" s="26"/>
      <c r="CW34" s="31"/>
      <c r="CX34" s="19">
        <f t="shared" si="3"/>
        <v>-1057125</v>
      </c>
      <c r="CY34" s="19">
        <f t="shared" si="3"/>
        <v>2166819</v>
      </c>
      <c r="CZ34" s="19">
        <f t="shared" si="3"/>
        <v>3580762</v>
      </c>
      <c r="DA34" s="644">
        <f t="shared" si="3"/>
        <v>5980340</v>
      </c>
    </row>
    <row r="35" spans="1:105" ht="28.5">
      <c r="A35" s="445" t="s">
        <v>173</v>
      </c>
      <c r="B35" s="83"/>
      <c r="C35" s="344"/>
      <c r="D35" s="345"/>
      <c r="E35" s="646"/>
      <c r="F35" s="30"/>
      <c r="G35" s="26"/>
      <c r="H35" s="26"/>
      <c r="I35" s="31"/>
      <c r="J35" s="30"/>
      <c r="K35" s="26"/>
      <c r="L35" s="26"/>
      <c r="M35" s="31"/>
      <c r="N35" s="30"/>
      <c r="O35" s="26"/>
      <c r="P35" s="26">
        <v>1054963</v>
      </c>
      <c r="Q35" s="31"/>
      <c r="R35" s="30"/>
      <c r="S35" s="26"/>
      <c r="T35" s="26"/>
      <c r="U35" s="31"/>
      <c r="V35" s="30"/>
      <c r="W35" s="26"/>
      <c r="X35" s="26"/>
      <c r="Y35" s="31"/>
      <c r="Z35" s="30"/>
      <c r="AA35" s="26"/>
      <c r="AB35" s="26"/>
      <c r="AC35" s="31"/>
      <c r="AD35" s="30"/>
      <c r="AE35" s="26"/>
      <c r="AF35" s="26"/>
      <c r="AG35" s="31"/>
      <c r="AH35" s="30"/>
      <c r="AI35" s="26"/>
      <c r="AJ35" s="26"/>
      <c r="AK35" s="31"/>
      <c r="AL35" s="30"/>
      <c r="AM35" s="26"/>
      <c r="AN35" s="26"/>
      <c r="AO35" s="31"/>
      <c r="AP35" s="30"/>
      <c r="AQ35" s="26"/>
      <c r="AR35" s="26"/>
      <c r="AS35" s="31"/>
      <c r="AT35" s="30"/>
      <c r="AU35" s="26"/>
      <c r="AV35" s="30">
        <v>4737332</v>
      </c>
      <c r="AW35" s="31">
        <v>5023962</v>
      </c>
      <c r="AX35" s="39"/>
      <c r="AY35" s="40"/>
      <c r="AZ35" s="40"/>
      <c r="BA35" s="41"/>
      <c r="BB35" s="30"/>
      <c r="BC35" s="26"/>
      <c r="BD35" s="26"/>
      <c r="BE35" s="31"/>
      <c r="BF35" s="30"/>
      <c r="BG35" s="26"/>
      <c r="BH35" s="26"/>
      <c r="BI35" s="31"/>
      <c r="BJ35" s="30"/>
      <c r="BK35" s="26"/>
      <c r="BL35" s="26">
        <v>1630991</v>
      </c>
      <c r="BM35" s="31">
        <v>1228040</v>
      </c>
      <c r="BN35" s="30"/>
      <c r="BO35" s="26"/>
      <c r="BP35" s="26"/>
      <c r="BQ35" s="31"/>
      <c r="BR35" s="30"/>
      <c r="BS35" s="26"/>
      <c r="BT35" s="26"/>
      <c r="BU35" s="31"/>
      <c r="BV35" s="333"/>
      <c r="BW35" s="26"/>
      <c r="BX35" s="26"/>
      <c r="BY35" s="31"/>
      <c r="BZ35" s="455"/>
      <c r="CA35" s="449"/>
      <c r="CB35" s="449"/>
      <c r="CC35" s="456"/>
      <c r="CD35" s="36"/>
      <c r="CE35" s="37"/>
      <c r="CF35" s="37"/>
      <c r="CG35" s="38"/>
      <c r="CH35" s="39"/>
      <c r="CI35" s="40"/>
      <c r="CJ35" s="40"/>
      <c r="CK35" s="41"/>
      <c r="CL35" s="30"/>
      <c r="CM35" s="26"/>
      <c r="CN35" s="26"/>
      <c r="CO35" s="31"/>
      <c r="CP35" s="20">
        <f t="shared" si="2"/>
        <v>0</v>
      </c>
      <c r="CQ35" s="19">
        <f t="shared" si="2"/>
        <v>0</v>
      </c>
      <c r="CR35" s="19">
        <f t="shared" si="2"/>
        <v>7423286</v>
      </c>
      <c r="CS35" s="644">
        <f t="shared" si="2"/>
        <v>6252002</v>
      </c>
      <c r="CT35" s="28">
        <v>26605954</v>
      </c>
      <c r="CU35" s="26">
        <v>24218226</v>
      </c>
      <c r="CV35" s="26">
        <v>26605954</v>
      </c>
      <c r="CW35" s="31">
        <v>24218226</v>
      </c>
      <c r="CX35" s="19">
        <f t="shared" si="3"/>
        <v>26605954</v>
      </c>
      <c r="CY35" s="19">
        <f t="shared" si="3"/>
        <v>24218226</v>
      </c>
      <c r="CZ35" s="19">
        <f t="shared" si="3"/>
        <v>34029240</v>
      </c>
      <c r="DA35" s="644">
        <f t="shared" si="3"/>
        <v>30470228</v>
      </c>
    </row>
    <row r="36" spans="1:105" ht="14.25">
      <c r="A36" s="443" t="s">
        <v>174</v>
      </c>
      <c r="B36" s="83"/>
      <c r="C36" s="344"/>
      <c r="D36" s="345"/>
      <c r="E36" s="646"/>
      <c r="F36" s="30"/>
      <c r="G36" s="26"/>
      <c r="H36" s="26"/>
      <c r="I36" s="31"/>
      <c r="J36" s="30"/>
      <c r="K36" s="26"/>
      <c r="L36" s="26"/>
      <c r="M36" s="31"/>
      <c r="N36" s="30"/>
      <c r="O36" s="26"/>
      <c r="P36" s="26">
        <v>216851</v>
      </c>
      <c r="Q36" s="31"/>
      <c r="R36" s="30"/>
      <c r="S36" s="26"/>
      <c r="T36" s="26"/>
      <c r="U36" s="31"/>
      <c r="V36" s="30"/>
      <c r="W36" s="26"/>
      <c r="X36" s="26"/>
      <c r="Y36" s="31"/>
      <c r="Z36" s="30"/>
      <c r="AA36" s="26"/>
      <c r="AB36" s="26"/>
      <c r="AC36" s="31"/>
      <c r="AD36" s="30"/>
      <c r="AE36" s="26"/>
      <c r="AF36" s="26"/>
      <c r="AG36" s="31"/>
      <c r="AH36" s="30"/>
      <c r="AI36" s="26"/>
      <c r="AJ36" s="26"/>
      <c r="AK36" s="31"/>
      <c r="AL36" s="30"/>
      <c r="AM36" s="26"/>
      <c r="AN36" s="26"/>
      <c r="AO36" s="31"/>
      <c r="AP36" s="30">
        <v>-675909</v>
      </c>
      <c r="AQ36" s="26"/>
      <c r="AR36" s="26">
        <v>-675909</v>
      </c>
      <c r="AS36" s="31">
        <v>-556222</v>
      </c>
      <c r="AT36" s="30"/>
      <c r="AU36" s="26"/>
      <c r="AV36" s="30">
        <v>1445914</v>
      </c>
      <c r="AW36" s="31">
        <v>2016339</v>
      </c>
      <c r="AX36" s="39"/>
      <c r="AY36" s="40"/>
      <c r="AZ36" s="40"/>
      <c r="BA36" s="41"/>
      <c r="BB36" s="30"/>
      <c r="BC36" s="26"/>
      <c r="BD36" s="26"/>
      <c r="BE36" s="31"/>
      <c r="BF36" s="30"/>
      <c r="BG36" s="26"/>
      <c r="BH36" s="26"/>
      <c r="BI36" s="31"/>
      <c r="BJ36" s="30"/>
      <c r="BK36" s="26"/>
      <c r="BL36" s="26">
        <v>816444</v>
      </c>
      <c r="BM36" s="31">
        <v>582031</v>
      </c>
      <c r="BN36" s="30"/>
      <c r="BO36" s="26"/>
      <c r="BP36" s="26"/>
      <c r="BQ36" s="31"/>
      <c r="BR36" s="30"/>
      <c r="BS36" s="26"/>
      <c r="BT36" s="26"/>
      <c r="BU36" s="31"/>
      <c r="BV36" s="333"/>
      <c r="BW36" s="26"/>
      <c r="BX36" s="26"/>
      <c r="BY36" s="31"/>
      <c r="BZ36" s="455">
        <v>411106</v>
      </c>
      <c r="CA36" s="449">
        <v>407153</v>
      </c>
      <c r="CB36" s="449">
        <v>411106</v>
      </c>
      <c r="CC36" s="456">
        <v>407153</v>
      </c>
      <c r="CD36" s="36">
        <v>36871</v>
      </c>
      <c r="CE36" s="37">
        <v>33971</v>
      </c>
      <c r="CF36" s="37">
        <v>33960</v>
      </c>
      <c r="CG36" s="38">
        <v>40899</v>
      </c>
      <c r="CH36" s="39">
        <v>10646</v>
      </c>
      <c r="CI36" s="40"/>
      <c r="CJ36" s="40">
        <v>10646</v>
      </c>
      <c r="CK36" s="41"/>
      <c r="CL36" s="30"/>
      <c r="CM36" s="26"/>
      <c r="CN36" s="26"/>
      <c r="CO36" s="31"/>
      <c r="CP36" s="20">
        <f t="shared" si="2"/>
        <v>-217286</v>
      </c>
      <c r="CQ36" s="19">
        <f t="shared" si="2"/>
        <v>441124</v>
      </c>
      <c r="CR36" s="19">
        <f t="shared" si="2"/>
        <v>2259012</v>
      </c>
      <c r="CS36" s="644">
        <f t="shared" si="2"/>
        <v>2490200</v>
      </c>
      <c r="CT36" s="28"/>
      <c r="CU36" s="26"/>
      <c r="CV36" s="26"/>
      <c r="CW36" s="31"/>
      <c r="CX36" s="19">
        <f t="shared" si="3"/>
        <v>-217286</v>
      </c>
      <c r="CY36" s="19">
        <f t="shared" si="3"/>
        <v>441124</v>
      </c>
      <c r="CZ36" s="19">
        <f t="shared" si="3"/>
        <v>2259012</v>
      </c>
      <c r="DA36" s="644">
        <f t="shared" si="3"/>
        <v>2490200</v>
      </c>
    </row>
    <row r="37" spans="1:105" ht="28.5">
      <c r="A37" s="443" t="s">
        <v>175</v>
      </c>
      <c r="B37" s="19"/>
      <c r="C37" s="18"/>
      <c r="D37" s="343"/>
      <c r="E37" s="645"/>
      <c r="F37" s="50"/>
      <c r="G37" s="53"/>
      <c r="H37" s="53"/>
      <c r="I37" s="54"/>
      <c r="J37" s="50"/>
      <c r="K37" s="53"/>
      <c r="L37" s="53"/>
      <c r="M37" s="54"/>
      <c r="N37" s="50"/>
      <c r="O37" s="53"/>
      <c r="P37" s="53"/>
      <c r="Q37" s="54"/>
      <c r="R37" s="50"/>
      <c r="S37" s="53"/>
      <c r="T37" s="53"/>
      <c r="U37" s="54"/>
      <c r="V37" s="50"/>
      <c r="W37" s="53"/>
      <c r="X37" s="53"/>
      <c r="Y37" s="54"/>
      <c r="Z37" s="50"/>
      <c r="AA37" s="53"/>
      <c r="AB37" s="53"/>
      <c r="AC37" s="54"/>
      <c r="AD37" s="50"/>
      <c r="AE37" s="53"/>
      <c r="AF37" s="53"/>
      <c r="AG37" s="54"/>
      <c r="AH37" s="50"/>
      <c r="AI37" s="53"/>
      <c r="AJ37" s="53"/>
      <c r="AK37" s="54"/>
      <c r="AL37" s="50"/>
      <c r="AM37" s="53"/>
      <c r="AN37" s="53"/>
      <c r="AO37" s="54"/>
      <c r="AP37" s="50"/>
      <c r="AQ37" s="53"/>
      <c r="AR37" s="53"/>
      <c r="AS37" s="54"/>
      <c r="AT37" s="50"/>
      <c r="AU37" s="53"/>
      <c r="AV37" s="50"/>
      <c r="AW37" s="54"/>
      <c r="AX37" s="32"/>
      <c r="AY37" s="347"/>
      <c r="AZ37" s="347"/>
      <c r="BA37" s="359"/>
      <c r="BB37" s="50">
        <v>-50000</v>
      </c>
      <c r="BC37" s="53">
        <v>-50000</v>
      </c>
      <c r="BD37" s="53">
        <v>-50000</v>
      </c>
      <c r="BE37" s="54">
        <v>-50000</v>
      </c>
      <c r="BF37" s="52"/>
      <c r="BG37" s="53"/>
      <c r="BH37" s="53"/>
      <c r="BI37" s="54"/>
      <c r="BJ37" s="50"/>
      <c r="BK37" s="53"/>
      <c r="BL37" s="53"/>
      <c r="BM37" s="54"/>
      <c r="BN37" s="50"/>
      <c r="BO37" s="53">
        <v>13003351</v>
      </c>
      <c r="BP37" s="53"/>
      <c r="BQ37" s="54"/>
      <c r="BR37" s="50"/>
      <c r="BS37" s="53"/>
      <c r="BT37" s="53"/>
      <c r="BU37" s="54"/>
      <c r="BV37" s="333"/>
      <c r="BW37" s="348"/>
      <c r="BX37" s="348"/>
      <c r="BY37" s="662"/>
      <c r="BZ37" s="455"/>
      <c r="CA37" s="449"/>
      <c r="CB37" s="449"/>
      <c r="CC37" s="456"/>
      <c r="CD37" s="36"/>
      <c r="CE37" s="349"/>
      <c r="CF37" s="349"/>
      <c r="CG37" s="463"/>
      <c r="CH37" s="39"/>
      <c r="CI37" s="350"/>
      <c r="CJ37" s="350"/>
      <c r="CK37" s="466"/>
      <c r="CL37" s="50"/>
      <c r="CM37" s="53"/>
      <c r="CN37" s="53"/>
      <c r="CO37" s="54"/>
      <c r="CP37" s="20">
        <f t="shared" si="2"/>
        <v>-50000</v>
      </c>
      <c r="CQ37" s="19">
        <f t="shared" si="2"/>
        <v>12953351</v>
      </c>
      <c r="CR37" s="19">
        <f t="shared" si="2"/>
        <v>-50000</v>
      </c>
      <c r="CS37" s="644">
        <f t="shared" si="2"/>
        <v>-50000</v>
      </c>
      <c r="CT37" s="48">
        <v>26561</v>
      </c>
      <c r="CU37" s="53">
        <v>37693</v>
      </c>
      <c r="CV37" s="53">
        <v>279012</v>
      </c>
      <c r="CW37" s="54">
        <v>245828</v>
      </c>
      <c r="CX37" s="19">
        <f t="shared" si="3"/>
        <v>-23439</v>
      </c>
      <c r="CY37" s="19">
        <f t="shared" si="3"/>
        <v>12991044</v>
      </c>
      <c r="CZ37" s="19">
        <f t="shared" si="3"/>
        <v>229012</v>
      </c>
      <c r="DA37" s="644">
        <f t="shared" si="3"/>
        <v>195828</v>
      </c>
    </row>
    <row r="38" spans="1:105" ht="28.5">
      <c r="A38" s="1388" t="s">
        <v>456</v>
      </c>
      <c r="B38" s="1389"/>
      <c r="C38" s="1390"/>
      <c r="D38" s="1391"/>
      <c r="E38" s="1392"/>
      <c r="F38" s="1393"/>
      <c r="G38" s="1394"/>
      <c r="H38" s="1394"/>
      <c r="I38" s="1395"/>
      <c r="J38" s="1393"/>
      <c r="K38" s="1394"/>
      <c r="L38" s="1394"/>
      <c r="M38" s="1395"/>
      <c r="N38" s="1393"/>
      <c r="O38" s="1394"/>
      <c r="P38" s="1394"/>
      <c r="Q38" s="1395"/>
      <c r="R38" s="1393"/>
      <c r="S38" s="1394"/>
      <c r="T38" s="1394"/>
      <c r="U38" s="1395"/>
      <c r="V38" s="1393"/>
      <c r="W38" s="1394"/>
      <c r="X38" s="1394"/>
      <c r="Y38" s="1395"/>
      <c r="Z38" s="1393"/>
      <c r="AA38" s="1394"/>
      <c r="AB38" s="1394"/>
      <c r="AC38" s="1395"/>
      <c r="AD38" s="1393"/>
      <c r="AE38" s="1394"/>
      <c r="AF38" s="1394"/>
      <c r="AG38" s="1395"/>
      <c r="AH38" s="1393"/>
      <c r="AI38" s="1394"/>
      <c r="AJ38" s="1394"/>
      <c r="AK38" s="1395"/>
      <c r="AL38" s="1393"/>
      <c r="AM38" s="1394"/>
      <c r="AN38" s="1394"/>
      <c r="AO38" s="1395"/>
      <c r="AP38" s="1393"/>
      <c r="AQ38" s="1394"/>
      <c r="AR38" s="1394"/>
      <c r="AS38" s="1395"/>
      <c r="AT38" s="1393"/>
      <c r="AU38" s="1394"/>
      <c r="AV38" s="1393"/>
      <c r="AW38" s="1395"/>
      <c r="AX38" s="1396"/>
      <c r="AY38" s="1397"/>
      <c r="AZ38" s="1397"/>
      <c r="BA38" s="1398"/>
      <c r="BB38" s="1393"/>
      <c r="BC38" s="1394"/>
      <c r="BD38" s="1394"/>
      <c r="BE38" s="1395"/>
      <c r="BF38" s="1399"/>
      <c r="BG38" s="1394"/>
      <c r="BH38" s="1394"/>
      <c r="BI38" s="1395"/>
      <c r="BJ38" s="1393"/>
      <c r="BK38" s="1394"/>
      <c r="BL38" s="1394"/>
      <c r="BM38" s="1395"/>
      <c r="BN38" s="1393"/>
      <c r="BO38" s="1394"/>
      <c r="BP38" s="1394"/>
      <c r="BQ38" s="1395"/>
      <c r="BR38" s="1393"/>
      <c r="BS38" s="1394"/>
      <c r="BT38" s="1394"/>
      <c r="BU38" s="1395"/>
      <c r="BV38" s="1400"/>
      <c r="BW38" s="1401"/>
      <c r="BX38" s="1401"/>
      <c r="BY38" s="1402"/>
      <c r="BZ38" s="1403"/>
      <c r="CA38" s="1404"/>
      <c r="CB38" s="1404"/>
      <c r="CC38" s="1405"/>
      <c r="CD38" s="1406">
        <v>1000</v>
      </c>
      <c r="CE38" s="1407">
        <v>200</v>
      </c>
      <c r="CF38" s="1407">
        <v>5700</v>
      </c>
      <c r="CG38" s="1408">
        <v>3800</v>
      </c>
      <c r="CH38" s="1360"/>
      <c r="CI38" s="1409"/>
      <c r="CJ38" s="1409"/>
      <c r="CK38" s="1410"/>
      <c r="CL38" s="1393"/>
      <c r="CM38" s="1394"/>
      <c r="CN38" s="1394"/>
      <c r="CO38" s="1395"/>
      <c r="CP38" s="1411"/>
      <c r="CQ38" s="1389"/>
      <c r="CR38" s="1389"/>
      <c r="CS38" s="1412"/>
      <c r="CT38" s="1413"/>
      <c r="CU38" s="1394"/>
      <c r="CV38" s="1394"/>
      <c r="CW38" s="1395"/>
      <c r="CX38" s="1389"/>
      <c r="CY38" s="1411"/>
      <c r="CZ38" s="1411"/>
      <c r="DA38" s="1392"/>
    </row>
    <row r="39" spans="1:105" s="970" customFormat="1" ht="27.75" thickBot="1">
      <c r="A39" s="962" t="s">
        <v>176</v>
      </c>
      <c r="B39" s="963">
        <f aca="true" t="shared" si="8" ref="B39:M39">B31+B33</f>
        <v>-1129634</v>
      </c>
      <c r="C39" s="964">
        <f t="shared" si="8"/>
        <v>-2385817</v>
      </c>
      <c r="D39" s="964">
        <f t="shared" si="8"/>
        <v>-1129634</v>
      </c>
      <c r="E39" s="965">
        <f t="shared" si="8"/>
        <v>-2385817</v>
      </c>
      <c r="F39" s="966">
        <f t="shared" si="8"/>
        <v>-5370741</v>
      </c>
      <c r="G39" s="964">
        <f t="shared" si="8"/>
        <v>-4584077</v>
      </c>
      <c r="H39" s="964">
        <f t="shared" si="8"/>
        <v>-5370742</v>
      </c>
      <c r="I39" s="965">
        <f t="shared" si="8"/>
        <v>-4584077</v>
      </c>
      <c r="J39" s="966">
        <f t="shared" si="8"/>
        <v>-12999655</v>
      </c>
      <c r="K39" s="964">
        <f t="shared" si="8"/>
        <v>-12958704</v>
      </c>
      <c r="L39" s="964">
        <f t="shared" si="8"/>
        <v>-12973568</v>
      </c>
      <c r="M39" s="965">
        <f t="shared" si="8"/>
        <v>-13505451</v>
      </c>
      <c r="N39" s="966">
        <v>83393632</v>
      </c>
      <c r="O39" s="964">
        <v>3423268</v>
      </c>
      <c r="P39" s="964">
        <v>83393632</v>
      </c>
      <c r="Q39" s="965">
        <v>79646820</v>
      </c>
      <c r="R39" s="966">
        <f aca="true" t="shared" si="9" ref="R39:AU39">R31+R33</f>
        <v>-24928210</v>
      </c>
      <c r="S39" s="964">
        <f t="shared" si="9"/>
        <v>-24529658</v>
      </c>
      <c r="T39" s="964">
        <f t="shared" si="9"/>
        <v>-24928221</v>
      </c>
      <c r="U39" s="965">
        <f t="shared" si="9"/>
        <v>-24529658</v>
      </c>
      <c r="V39" s="966">
        <f t="shared" si="9"/>
        <v>54208</v>
      </c>
      <c r="W39" s="964">
        <f t="shared" si="9"/>
        <v>-1597758</v>
      </c>
      <c r="X39" s="964">
        <f t="shared" si="9"/>
        <v>54208</v>
      </c>
      <c r="Y39" s="965">
        <f t="shared" si="9"/>
        <v>-1597758</v>
      </c>
      <c r="Z39" s="966">
        <f t="shared" si="9"/>
        <v>208455</v>
      </c>
      <c r="AA39" s="964">
        <f t="shared" si="9"/>
        <v>317338</v>
      </c>
      <c r="AB39" s="964">
        <f t="shared" si="9"/>
        <v>-1628700</v>
      </c>
      <c r="AC39" s="965">
        <f t="shared" si="9"/>
        <v>-2480527</v>
      </c>
      <c r="AD39" s="966">
        <f t="shared" si="9"/>
        <v>-11081434</v>
      </c>
      <c r="AE39" s="964">
        <f t="shared" si="9"/>
        <v>-8375165</v>
      </c>
      <c r="AF39" s="964">
        <f t="shared" si="9"/>
        <v>-11081431</v>
      </c>
      <c r="AG39" s="965">
        <f t="shared" si="9"/>
        <v>-8375164</v>
      </c>
      <c r="AH39" s="966">
        <f t="shared" si="9"/>
        <v>-7258469</v>
      </c>
      <c r="AI39" s="964">
        <f t="shared" si="9"/>
        <v>-7408329</v>
      </c>
      <c r="AJ39" s="964">
        <f t="shared" si="9"/>
        <v>-7258469</v>
      </c>
      <c r="AK39" s="965">
        <f t="shared" si="9"/>
        <v>-7408329</v>
      </c>
      <c r="AL39" s="966">
        <f t="shared" si="9"/>
        <v>-16633363</v>
      </c>
      <c r="AM39" s="964">
        <f t="shared" si="9"/>
        <v>-14682622</v>
      </c>
      <c r="AN39" s="964">
        <f t="shared" si="9"/>
        <v>-16633363</v>
      </c>
      <c r="AO39" s="965">
        <f t="shared" si="9"/>
        <v>-14682622</v>
      </c>
      <c r="AP39" s="966">
        <v>32740263</v>
      </c>
      <c r="AQ39" s="964">
        <v>23936526</v>
      </c>
      <c r="AR39" s="964">
        <v>32740263</v>
      </c>
      <c r="AS39" s="965">
        <v>23936526</v>
      </c>
      <c r="AT39" s="966">
        <v>19842696</v>
      </c>
      <c r="AU39" s="964">
        <f t="shared" si="9"/>
        <v>16933615</v>
      </c>
      <c r="AV39" s="966">
        <v>19842696</v>
      </c>
      <c r="AW39" s="965">
        <v>16933615</v>
      </c>
      <c r="AX39" s="966">
        <f aca="true" t="shared" si="10" ref="AX39:BI39">AX31+AX33</f>
        <v>1126211</v>
      </c>
      <c r="AY39" s="964">
        <f t="shared" si="10"/>
        <v>-201510</v>
      </c>
      <c r="AZ39" s="964">
        <f t="shared" si="10"/>
        <v>1126212</v>
      </c>
      <c r="BA39" s="965">
        <f t="shared" si="10"/>
        <v>-201510</v>
      </c>
      <c r="BB39" s="966">
        <v>-1018662</v>
      </c>
      <c r="BC39" s="964">
        <v>1584371</v>
      </c>
      <c r="BD39" s="964">
        <v>-1018662</v>
      </c>
      <c r="BE39" s="965">
        <v>-1584371</v>
      </c>
      <c r="BF39" s="966">
        <f t="shared" si="10"/>
        <v>4142906</v>
      </c>
      <c r="BG39" s="964">
        <f t="shared" si="10"/>
        <v>3180768</v>
      </c>
      <c r="BH39" s="964">
        <f t="shared" si="10"/>
        <v>21830354</v>
      </c>
      <c r="BI39" s="965">
        <f t="shared" si="10"/>
        <v>16758003</v>
      </c>
      <c r="BJ39" s="966"/>
      <c r="BK39" s="964"/>
      <c r="BL39" s="964">
        <v>7538521</v>
      </c>
      <c r="BM39" s="965">
        <v>6762696</v>
      </c>
      <c r="BN39" s="966">
        <f>BN31+BN33</f>
        <v>-7945350</v>
      </c>
      <c r="BO39" s="964">
        <v>3626876</v>
      </c>
      <c r="BP39" s="964">
        <f aca="true" t="shared" si="11" ref="BP39:BY39">BP31+BP33</f>
        <v>-7945350</v>
      </c>
      <c r="BQ39" s="965">
        <f t="shared" si="11"/>
        <v>3626876</v>
      </c>
      <c r="BR39" s="966">
        <f t="shared" si="11"/>
        <v>-2324090</v>
      </c>
      <c r="BS39" s="964">
        <f t="shared" si="11"/>
        <v>-2578727</v>
      </c>
      <c r="BT39" s="964">
        <f t="shared" si="11"/>
        <v>-2324090</v>
      </c>
      <c r="BU39" s="965">
        <f t="shared" si="11"/>
        <v>-2578727</v>
      </c>
      <c r="BV39" s="966">
        <f t="shared" si="11"/>
        <v>0</v>
      </c>
      <c r="BW39" s="964">
        <f t="shared" si="11"/>
        <v>0</v>
      </c>
      <c r="BX39" s="964">
        <f t="shared" si="11"/>
        <v>0</v>
      </c>
      <c r="BY39" s="965">
        <f t="shared" si="11"/>
        <v>0</v>
      </c>
      <c r="BZ39" s="963">
        <v>64601438</v>
      </c>
      <c r="CA39" s="964">
        <v>53744580</v>
      </c>
      <c r="CB39" s="964">
        <v>64601438</v>
      </c>
      <c r="CC39" s="965">
        <v>53744580</v>
      </c>
      <c r="CD39" s="965">
        <f>CD31+CD33</f>
        <v>4017044</v>
      </c>
      <c r="CE39" s="965">
        <f>CE31+CE33</f>
        <v>3596991</v>
      </c>
      <c r="CF39" s="965">
        <f>CF31+CF33</f>
        <v>3974228</v>
      </c>
      <c r="CG39" s="965">
        <f>CG31+CG33</f>
        <v>3477206</v>
      </c>
      <c r="CH39" s="966">
        <v>726224</v>
      </c>
      <c r="CI39" s="964">
        <v>-226636</v>
      </c>
      <c r="CJ39" s="964">
        <v>726224</v>
      </c>
      <c r="CK39" s="965">
        <f>CK31+CK33</f>
        <v>-226636</v>
      </c>
      <c r="CL39" s="966">
        <f>CL31+CL33</f>
        <v>900986</v>
      </c>
      <c r="CM39" s="964">
        <f>CM31+CM33</f>
        <v>573340</v>
      </c>
      <c r="CN39" s="964">
        <f>CN31+CN33</f>
        <v>900986</v>
      </c>
      <c r="CO39" s="965">
        <f>CO31+CO33</f>
        <v>573340</v>
      </c>
      <c r="CP39" s="967">
        <f t="shared" si="2"/>
        <v>121064455</v>
      </c>
      <c r="CQ39" s="968">
        <f t="shared" si="2"/>
        <v>31388670</v>
      </c>
      <c r="CR39" s="968">
        <f t="shared" si="2"/>
        <v>144436532</v>
      </c>
      <c r="CS39" s="969">
        <f t="shared" si="2"/>
        <v>121319015</v>
      </c>
      <c r="CT39" s="963">
        <f aca="true" t="shared" si="12" ref="CT39:DA39">CT31+CT33</f>
        <v>26632515</v>
      </c>
      <c r="CU39" s="964">
        <f t="shared" si="12"/>
        <v>24255919</v>
      </c>
      <c r="CV39" s="964">
        <f t="shared" si="12"/>
        <v>26884966</v>
      </c>
      <c r="CW39" s="965">
        <f t="shared" si="12"/>
        <v>24464054</v>
      </c>
      <c r="CX39" s="963">
        <f t="shared" si="12"/>
        <v>155526629</v>
      </c>
      <c r="CY39" s="964">
        <f t="shared" si="12"/>
        <v>42240202</v>
      </c>
      <c r="CZ39" s="964">
        <f t="shared" si="12"/>
        <v>187331001</v>
      </c>
      <c r="DA39" s="965">
        <f t="shared" si="12"/>
        <v>160070166</v>
      </c>
    </row>
    <row r="40" spans="1:105" s="82" customFormat="1" ht="28.5">
      <c r="A40" s="663" t="s">
        <v>177</v>
      </c>
      <c r="B40" s="664">
        <v>0.25</v>
      </c>
      <c r="C40" s="665">
        <v>0.27</v>
      </c>
      <c r="D40" s="665">
        <v>0.66</v>
      </c>
      <c r="E40" s="666">
        <v>0.88</v>
      </c>
      <c r="F40" s="667"/>
      <c r="G40" s="475"/>
      <c r="H40" s="475"/>
      <c r="I40" s="476"/>
      <c r="J40" s="667"/>
      <c r="K40" s="475"/>
      <c r="L40" s="665">
        <v>0.27</v>
      </c>
      <c r="M40" s="666">
        <v>0.26</v>
      </c>
      <c r="N40" s="667"/>
      <c r="O40" s="475"/>
      <c r="P40" s="475"/>
      <c r="Q40" s="1505"/>
      <c r="R40" s="683">
        <v>0.05</v>
      </c>
      <c r="S40" s="475">
        <v>0.04</v>
      </c>
      <c r="T40" s="475">
        <v>0.16</v>
      </c>
      <c r="U40" s="476">
        <v>0.3</v>
      </c>
      <c r="V40" s="667"/>
      <c r="W40" s="475"/>
      <c r="X40" s="475"/>
      <c r="Y40" s="476"/>
      <c r="Z40" s="667"/>
      <c r="AA40" s="475"/>
      <c r="AB40" s="475"/>
      <c r="AC40" s="476"/>
      <c r="AD40" s="665">
        <v>2.17</v>
      </c>
      <c r="AE40" s="665">
        <v>3.54</v>
      </c>
      <c r="AF40" s="665">
        <v>8.66</v>
      </c>
      <c r="AG40" s="666">
        <v>8.48</v>
      </c>
      <c r="AH40" s="667"/>
      <c r="AI40" s="475"/>
      <c r="AJ40" s="475"/>
      <c r="AK40" s="476"/>
      <c r="AL40" s="667"/>
      <c r="AM40" s="475"/>
      <c r="AN40" s="475"/>
      <c r="AO40" s="476"/>
      <c r="AP40" s="667">
        <v>1.81</v>
      </c>
      <c r="AQ40" s="475">
        <v>1.73</v>
      </c>
      <c r="AR40" s="475">
        <v>6.34</v>
      </c>
      <c r="AS40" s="476">
        <v>5.53</v>
      </c>
      <c r="AT40" s="667">
        <v>1.82</v>
      </c>
      <c r="AU40" s="475">
        <v>2.37</v>
      </c>
      <c r="AV40" s="667">
        <v>7.93</v>
      </c>
      <c r="AW40" s="476">
        <v>11.28</v>
      </c>
      <c r="AX40" s="668">
        <v>1.42</v>
      </c>
      <c r="AY40" s="669">
        <v>-0.06</v>
      </c>
      <c r="AZ40" s="669">
        <v>1.66</v>
      </c>
      <c r="BA40" s="670">
        <v>-0.09</v>
      </c>
      <c r="BB40" s="667">
        <v>1.26</v>
      </c>
      <c r="BC40" s="475">
        <v>0.77</v>
      </c>
      <c r="BD40" s="475">
        <v>0.99</v>
      </c>
      <c r="BE40" s="476">
        <v>0.82</v>
      </c>
      <c r="BF40" s="667">
        <v>8.12</v>
      </c>
      <c r="BG40" s="475">
        <v>6.23</v>
      </c>
      <c r="BH40" s="475">
        <v>9.94</v>
      </c>
      <c r="BI40" s="476">
        <v>8.1</v>
      </c>
      <c r="BJ40" s="667"/>
      <c r="BK40" s="475"/>
      <c r="BL40" s="475"/>
      <c r="BM40" s="476"/>
      <c r="BN40" s="667"/>
      <c r="BO40" s="475"/>
      <c r="BP40" s="475"/>
      <c r="BQ40" s="476"/>
      <c r="BR40" s="667"/>
      <c r="BS40" s="475"/>
      <c r="BT40" s="475"/>
      <c r="BU40" s="476"/>
      <c r="BV40" s="671"/>
      <c r="BW40" s="475"/>
      <c r="BX40" s="475"/>
      <c r="BY40" s="476"/>
      <c r="BZ40" s="672">
        <v>4.58</v>
      </c>
      <c r="CA40" s="673">
        <v>3.81</v>
      </c>
      <c r="CB40" s="673">
        <v>13.27</v>
      </c>
      <c r="CC40" s="674">
        <v>11.5</v>
      </c>
      <c r="CD40" s="675"/>
      <c r="CE40" s="676"/>
      <c r="CF40" s="676"/>
      <c r="CG40" s="677"/>
      <c r="CH40" s="678">
        <v>1.81</v>
      </c>
      <c r="CI40" s="679">
        <v>2.38</v>
      </c>
      <c r="CJ40" s="679">
        <v>3.92</v>
      </c>
      <c r="CK40" s="680">
        <v>2.93</v>
      </c>
      <c r="CL40" s="667"/>
      <c r="CM40" s="475"/>
      <c r="CN40" s="475"/>
      <c r="CO40" s="476"/>
      <c r="CP40" s="681"/>
      <c r="CQ40" s="474"/>
      <c r="CR40" s="474"/>
      <c r="CS40" s="682"/>
      <c r="CT40" s="683"/>
      <c r="CU40" s="475"/>
      <c r="CV40" s="475"/>
      <c r="CW40" s="476"/>
      <c r="CX40" s="473"/>
      <c r="CY40" s="474"/>
      <c r="CZ40" s="475"/>
      <c r="DA40" s="476"/>
    </row>
    <row r="41" spans="1:105" ht="14.25">
      <c r="A41" s="443" t="s">
        <v>178</v>
      </c>
      <c r="B41" s="83"/>
      <c r="C41" s="344"/>
      <c r="D41" s="345"/>
      <c r="E41" s="646"/>
      <c r="F41" s="30"/>
      <c r="G41" s="26"/>
      <c r="H41" s="26"/>
      <c r="I41" s="31"/>
      <c r="J41" s="30"/>
      <c r="K41" s="26"/>
      <c r="L41" s="26"/>
      <c r="M41" s="31"/>
      <c r="N41" s="30"/>
      <c r="O41" s="26"/>
      <c r="P41" s="26"/>
      <c r="Q41" s="27"/>
      <c r="R41" s="28"/>
      <c r="S41" s="26"/>
      <c r="T41" s="26"/>
      <c r="U41" s="31"/>
      <c r="V41" s="30"/>
      <c r="W41" s="26"/>
      <c r="X41" s="26"/>
      <c r="Y41" s="31"/>
      <c r="Z41" s="30"/>
      <c r="AA41" s="26"/>
      <c r="AB41" s="26"/>
      <c r="AC41" s="31"/>
      <c r="AD41" s="30"/>
      <c r="AE41" s="26"/>
      <c r="AF41" s="26"/>
      <c r="AG41" s="31"/>
      <c r="AH41" s="30"/>
      <c r="AI41" s="26"/>
      <c r="AJ41" s="26"/>
      <c r="AK41" s="31"/>
      <c r="AL41" s="30"/>
      <c r="AM41" s="26"/>
      <c r="AN41" s="26"/>
      <c r="AO41" s="31"/>
      <c r="AP41" s="30"/>
      <c r="AQ41" s="26"/>
      <c r="AR41" s="26"/>
      <c r="AS41" s="31"/>
      <c r="AT41" s="30"/>
      <c r="AU41" s="26"/>
      <c r="AV41" s="26"/>
      <c r="AW41" s="31"/>
      <c r="AX41" s="32"/>
      <c r="AY41" s="33"/>
      <c r="AZ41" s="33"/>
      <c r="BA41" s="34"/>
      <c r="BB41" s="30"/>
      <c r="BC41" s="26"/>
      <c r="BD41" s="26"/>
      <c r="BE41" s="31"/>
      <c r="BF41" s="30"/>
      <c r="BG41" s="26"/>
      <c r="BH41" s="26"/>
      <c r="BI41" s="31"/>
      <c r="BJ41" s="30"/>
      <c r="BK41" s="26"/>
      <c r="BL41" s="26"/>
      <c r="BM41" s="31"/>
      <c r="BN41" s="30"/>
      <c r="BO41" s="26"/>
      <c r="BP41" s="26"/>
      <c r="BQ41" s="31"/>
      <c r="BR41" s="30"/>
      <c r="BS41" s="26"/>
      <c r="BT41" s="26"/>
      <c r="BU41" s="31"/>
      <c r="BV41" s="333"/>
      <c r="BW41" s="26"/>
      <c r="BX41" s="26"/>
      <c r="BY41" s="31"/>
      <c r="BZ41" s="451"/>
      <c r="CA41" s="447"/>
      <c r="CB41" s="447"/>
      <c r="CC41" s="452"/>
      <c r="CD41" s="36"/>
      <c r="CE41" s="37"/>
      <c r="CF41" s="37"/>
      <c r="CG41" s="38"/>
      <c r="CH41" s="468"/>
      <c r="CI41" s="468"/>
      <c r="CJ41" s="468"/>
      <c r="CK41" s="469"/>
      <c r="CL41" s="30"/>
      <c r="CM41" s="26"/>
      <c r="CN41" s="26"/>
      <c r="CO41" s="31"/>
      <c r="CP41" s="50"/>
      <c r="CQ41" s="47"/>
      <c r="CR41" s="47"/>
      <c r="CS41" s="51"/>
      <c r="CT41" s="28"/>
      <c r="CU41" s="26"/>
      <c r="CV41" s="26"/>
      <c r="CW41" s="31"/>
      <c r="CX41" s="48"/>
      <c r="CY41" s="47"/>
      <c r="CZ41" s="26"/>
      <c r="DA41" s="31"/>
    </row>
    <row r="42" spans="1:105" ht="14.25">
      <c r="A42" s="445" t="s">
        <v>179</v>
      </c>
      <c r="B42" s="649"/>
      <c r="C42" s="102"/>
      <c r="D42" s="355"/>
      <c r="E42" s="650"/>
      <c r="F42" s="30"/>
      <c r="G42" s="26"/>
      <c r="H42" s="26"/>
      <c r="I42" s="31"/>
      <c r="J42" s="30"/>
      <c r="K42" s="26"/>
      <c r="L42" s="3"/>
      <c r="M42" s="4"/>
      <c r="N42" s="30"/>
      <c r="O42" s="26"/>
      <c r="P42" s="26"/>
      <c r="Q42" s="27"/>
      <c r="R42" s="2"/>
      <c r="S42" s="3"/>
      <c r="T42" s="3"/>
      <c r="U42" s="4"/>
      <c r="V42" s="30"/>
      <c r="W42" s="26"/>
      <c r="X42" s="26"/>
      <c r="Y42" s="31"/>
      <c r="Z42" s="30"/>
      <c r="AA42" s="26"/>
      <c r="AB42" s="26"/>
      <c r="AC42" s="31"/>
      <c r="AD42" s="29"/>
      <c r="AE42" s="3"/>
      <c r="AF42" s="3"/>
      <c r="AG42" s="4"/>
      <c r="AH42" s="30"/>
      <c r="AI42" s="26"/>
      <c r="AJ42" s="26"/>
      <c r="AK42" s="31"/>
      <c r="AL42" s="30"/>
      <c r="AM42" s="26"/>
      <c r="AN42" s="26"/>
      <c r="AO42" s="31"/>
      <c r="AP42" s="29"/>
      <c r="AQ42" s="3"/>
      <c r="AR42" s="3"/>
      <c r="AS42" s="4"/>
      <c r="AT42" s="29"/>
      <c r="AU42" s="3"/>
      <c r="AV42" s="26"/>
      <c r="AW42" s="31"/>
      <c r="AX42" s="656"/>
      <c r="AY42" s="356"/>
      <c r="AZ42" s="356"/>
      <c r="BA42" s="657"/>
      <c r="BB42" s="29"/>
      <c r="BC42" s="3"/>
      <c r="BD42" s="3"/>
      <c r="BE42" s="4"/>
      <c r="BF42" s="29"/>
      <c r="BG42" s="3"/>
      <c r="BH42" s="3"/>
      <c r="BI42" s="4"/>
      <c r="BJ42" s="30"/>
      <c r="BK42" s="26"/>
      <c r="BL42" s="26"/>
      <c r="BM42" s="31"/>
      <c r="BN42" s="30"/>
      <c r="BO42" s="26"/>
      <c r="BP42" s="26"/>
      <c r="BQ42" s="31"/>
      <c r="BR42" s="30"/>
      <c r="BS42" s="26"/>
      <c r="BT42" s="26"/>
      <c r="BU42" s="31"/>
      <c r="BV42" s="333"/>
      <c r="BW42" s="26"/>
      <c r="BX42" s="26"/>
      <c r="BY42" s="31"/>
      <c r="BZ42" s="457"/>
      <c r="CA42" s="450"/>
      <c r="CB42" s="450"/>
      <c r="CC42" s="458"/>
      <c r="CD42" s="36"/>
      <c r="CE42" s="37"/>
      <c r="CF42" s="37"/>
      <c r="CG42" s="38"/>
      <c r="CH42" s="462"/>
      <c r="CI42" s="354"/>
      <c r="CJ42" s="354"/>
      <c r="CK42" s="467"/>
      <c r="CL42" s="30"/>
      <c r="CM42" s="26"/>
      <c r="CN42" s="26"/>
      <c r="CO42" s="31"/>
      <c r="CP42" s="50"/>
      <c r="CQ42" s="47"/>
      <c r="CR42" s="47"/>
      <c r="CS42" s="51"/>
      <c r="CT42" s="28"/>
      <c r="CU42" s="26"/>
      <c r="CV42" s="26"/>
      <c r="CW42" s="31"/>
      <c r="CX42" s="48"/>
      <c r="CY42" s="47"/>
      <c r="CZ42" s="26"/>
      <c r="DA42" s="31"/>
    </row>
    <row r="43" spans="1:105" ht="15" thickBot="1">
      <c r="A43" s="446" t="s">
        <v>180</v>
      </c>
      <c r="B43" s="651"/>
      <c r="C43" s="652"/>
      <c r="D43" s="653"/>
      <c r="E43" s="654"/>
      <c r="F43" s="86"/>
      <c r="G43" s="87"/>
      <c r="H43" s="87"/>
      <c r="I43" s="88"/>
      <c r="J43" s="86"/>
      <c r="K43" s="87"/>
      <c r="L43" s="87"/>
      <c r="M43" s="88"/>
      <c r="N43" s="86"/>
      <c r="O43" s="87"/>
      <c r="P43" s="87"/>
      <c r="Q43" s="1506"/>
      <c r="R43" s="89"/>
      <c r="S43" s="87"/>
      <c r="T43" s="87"/>
      <c r="U43" s="88"/>
      <c r="V43" s="86"/>
      <c r="W43" s="87"/>
      <c r="X43" s="87"/>
      <c r="Y43" s="88"/>
      <c r="Z43" s="86"/>
      <c r="AA43" s="87"/>
      <c r="AB43" s="87"/>
      <c r="AC43" s="88"/>
      <c r="AD43" s="86"/>
      <c r="AE43" s="87"/>
      <c r="AF43" s="87"/>
      <c r="AG43" s="88"/>
      <c r="AH43" s="86"/>
      <c r="AI43" s="87"/>
      <c r="AJ43" s="87"/>
      <c r="AK43" s="88"/>
      <c r="AL43" s="86"/>
      <c r="AM43" s="87"/>
      <c r="AN43" s="87"/>
      <c r="AO43" s="88"/>
      <c r="AP43" s="97"/>
      <c r="AQ43" s="98"/>
      <c r="AR43" s="98"/>
      <c r="AS43" s="99"/>
      <c r="AT43" s="97"/>
      <c r="AU43" s="98"/>
      <c r="AV43" s="87"/>
      <c r="AW43" s="88"/>
      <c r="AX43" s="658"/>
      <c r="AY43" s="659"/>
      <c r="AZ43" s="659"/>
      <c r="BA43" s="660"/>
      <c r="BB43" s="86"/>
      <c r="BC43" s="87"/>
      <c r="BD43" s="87"/>
      <c r="BE43" s="88"/>
      <c r="BF43" s="90"/>
      <c r="BG43" s="91"/>
      <c r="BH43" s="91"/>
      <c r="BI43" s="92"/>
      <c r="BJ43" s="86"/>
      <c r="BK43" s="87"/>
      <c r="BL43" s="87"/>
      <c r="BM43" s="88"/>
      <c r="BN43" s="86"/>
      <c r="BO43" s="87"/>
      <c r="BP43" s="87"/>
      <c r="BQ43" s="88"/>
      <c r="BR43" s="86"/>
      <c r="BS43" s="87"/>
      <c r="BT43" s="87"/>
      <c r="BU43" s="88"/>
      <c r="BV43" s="661"/>
      <c r="BW43" s="360"/>
      <c r="BX43" s="360"/>
      <c r="BY43" s="361"/>
      <c r="BZ43" s="459"/>
      <c r="CA43" s="460"/>
      <c r="CB43" s="460"/>
      <c r="CC43" s="461"/>
      <c r="CD43" s="94"/>
      <c r="CE43" s="95"/>
      <c r="CF43" s="95"/>
      <c r="CG43" s="96"/>
      <c r="CH43" s="470"/>
      <c r="CI43" s="471"/>
      <c r="CJ43" s="471"/>
      <c r="CK43" s="472"/>
      <c r="CL43" s="86"/>
      <c r="CM43" s="87"/>
      <c r="CN43" s="87"/>
      <c r="CO43" s="88"/>
      <c r="CP43" s="86"/>
      <c r="CQ43" s="87"/>
      <c r="CR43" s="87"/>
      <c r="CS43" s="88"/>
      <c r="CT43" s="89"/>
      <c r="CU43" s="87"/>
      <c r="CV43" s="87"/>
      <c r="CW43" s="88"/>
      <c r="CX43" s="89"/>
      <c r="CY43" s="87"/>
      <c r="CZ43" s="360"/>
      <c r="DA43" s="361"/>
    </row>
  </sheetData>
  <sheetProtection/>
  <mergeCells count="29">
    <mergeCell ref="Z3:AC3"/>
    <mergeCell ref="CX3:DA3"/>
    <mergeCell ref="N3:Q3"/>
    <mergeCell ref="BZ3:CC3"/>
    <mergeCell ref="CD3:CG3"/>
    <mergeCell ref="CH3:CK3"/>
    <mergeCell ref="CL3:CO3"/>
    <mergeCell ref="CP3:CS3"/>
    <mergeCell ref="AP3:AS3"/>
    <mergeCell ref="AX3:BA3"/>
    <mergeCell ref="A1:CY1"/>
    <mergeCell ref="A2:CY2"/>
    <mergeCell ref="A3:A4"/>
    <mergeCell ref="B3:E3"/>
    <mergeCell ref="F3:I3"/>
    <mergeCell ref="J3:M3"/>
    <mergeCell ref="R3:U3"/>
    <mergeCell ref="CT3:CW3"/>
    <mergeCell ref="V3:Y3"/>
    <mergeCell ref="BV3:BY3"/>
    <mergeCell ref="BR3:BU3"/>
    <mergeCell ref="AL3:AO3"/>
    <mergeCell ref="AT3:AW3"/>
    <mergeCell ref="AD3:AG3"/>
    <mergeCell ref="AH3:AK3"/>
    <mergeCell ref="BB3:BE3"/>
    <mergeCell ref="BF3:BI3"/>
    <mergeCell ref="BJ3:BM3"/>
    <mergeCell ref="BN3:BQ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EO1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K10" sqref="EK10"/>
    </sheetView>
  </sheetViews>
  <sheetFormatPr defaultColWidth="9.140625" defaultRowHeight="15"/>
  <cols>
    <col min="1" max="1" width="55.00390625" style="204" customWidth="1"/>
    <col min="2" max="2" width="9.57421875" style="204" bestFit="1" customWidth="1"/>
    <col min="3" max="3" width="11.8515625" style="204" bestFit="1" customWidth="1"/>
    <col min="4" max="4" width="14.421875" style="204" bestFit="1" customWidth="1"/>
    <col min="5" max="5" width="19.421875" style="204" bestFit="1" customWidth="1"/>
    <col min="6" max="6" width="12.8515625" style="204" bestFit="1" customWidth="1"/>
    <col min="7" max="7" width="14.8515625" style="204" bestFit="1" customWidth="1"/>
    <col min="8" max="8" width="9.57421875" style="204" bestFit="1" customWidth="1"/>
    <col min="9" max="9" width="11.8515625" style="204" bestFit="1" customWidth="1"/>
    <col min="10" max="10" width="14.421875" style="204" bestFit="1" customWidth="1"/>
    <col min="11" max="11" width="19.421875" style="204" bestFit="1" customWidth="1"/>
    <col min="12" max="12" width="12.8515625" style="204" bestFit="1" customWidth="1"/>
    <col min="13" max="13" width="14.8515625" style="204" bestFit="1" customWidth="1"/>
    <col min="14" max="14" width="9.57421875" style="204" bestFit="1" customWidth="1"/>
    <col min="15" max="15" width="11.8515625" style="204" bestFit="1" customWidth="1"/>
    <col min="16" max="16" width="14.421875" style="204" bestFit="1" customWidth="1"/>
    <col min="17" max="17" width="19.421875" style="204" bestFit="1" customWidth="1"/>
    <col min="18" max="18" width="12.8515625" style="204" bestFit="1" customWidth="1"/>
    <col min="19" max="19" width="14.8515625" style="204" bestFit="1" customWidth="1"/>
    <col min="20" max="20" width="9.57421875" style="204" bestFit="1" customWidth="1"/>
    <col min="21" max="21" width="11.8515625" style="204" bestFit="1" customWidth="1"/>
    <col min="22" max="22" width="14.421875" style="204" bestFit="1" customWidth="1"/>
    <col min="23" max="23" width="19.421875" style="204" bestFit="1" customWidth="1"/>
    <col min="24" max="24" width="12.8515625" style="204" bestFit="1" customWidth="1"/>
    <col min="25" max="25" width="14.8515625" style="204" bestFit="1" customWidth="1"/>
    <col min="26" max="26" width="9.57421875" style="204" bestFit="1" customWidth="1"/>
    <col min="27" max="27" width="11.8515625" style="204" bestFit="1" customWidth="1"/>
    <col min="28" max="28" width="14.421875" style="204" bestFit="1" customWidth="1"/>
    <col min="29" max="29" width="19.421875" style="204" bestFit="1" customWidth="1"/>
    <col min="30" max="30" width="12.8515625" style="204" bestFit="1" customWidth="1"/>
    <col min="31" max="31" width="14.8515625" style="204" bestFit="1" customWidth="1"/>
    <col min="32" max="32" width="9.57421875" style="204" bestFit="1" customWidth="1"/>
    <col min="33" max="33" width="11.8515625" style="204" bestFit="1" customWidth="1"/>
    <col min="34" max="34" width="14.421875" style="204" bestFit="1" customWidth="1"/>
    <col min="35" max="35" width="19.421875" style="204" bestFit="1" customWidth="1"/>
    <col min="36" max="36" width="12.8515625" style="204" bestFit="1" customWidth="1"/>
    <col min="37" max="37" width="14.8515625" style="204" bestFit="1" customWidth="1"/>
    <col min="38" max="38" width="9.57421875" style="204" bestFit="1" customWidth="1"/>
    <col min="39" max="39" width="11.8515625" style="204" bestFit="1" customWidth="1"/>
    <col min="40" max="40" width="14.421875" style="204" bestFit="1" customWidth="1"/>
    <col min="41" max="41" width="19.421875" style="204" bestFit="1" customWidth="1"/>
    <col min="42" max="42" width="12.8515625" style="204" bestFit="1" customWidth="1"/>
    <col min="43" max="43" width="14.8515625" style="204" bestFit="1" customWidth="1"/>
    <col min="44" max="44" width="9.57421875" style="204" bestFit="1" customWidth="1"/>
    <col min="45" max="45" width="11.8515625" style="204" bestFit="1" customWidth="1"/>
    <col min="46" max="46" width="14.421875" style="204" bestFit="1" customWidth="1"/>
    <col min="47" max="47" width="19.421875" style="204" bestFit="1" customWidth="1"/>
    <col min="48" max="48" width="12.8515625" style="204" bestFit="1" customWidth="1"/>
    <col min="49" max="49" width="14.8515625" style="204" bestFit="1" customWidth="1"/>
    <col min="50" max="50" width="9.57421875" style="204" bestFit="1" customWidth="1"/>
    <col min="51" max="51" width="11.8515625" style="204" bestFit="1" customWidth="1"/>
    <col min="52" max="52" width="14.421875" style="204" bestFit="1" customWidth="1"/>
    <col min="53" max="53" width="19.421875" style="204" bestFit="1" customWidth="1"/>
    <col min="54" max="54" width="12.8515625" style="204" bestFit="1" customWidth="1"/>
    <col min="55" max="55" width="14.8515625" style="204" bestFit="1" customWidth="1"/>
    <col min="56" max="56" width="6.421875" style="204" customWidth="1"/>
    <col min="57" max="57" width="9.00390625" style="204" customWidth="1"/>
    <col min="58" max="58" width="8.140625" style="204" customWidth="1"/>
    <col min="59" max="59" width="12.28125" style="204" customWidth="1"/>
    <col min="60" max="60" width="10.7109375" style="204" customWidth="1"/>
    <col min="61" max="61" width="14.8515625" style="204" bestFit="1" customWidth="1"/>
    <col min="62" max="62" width="8.57421875" style="204" customWidth="1"/>
    <col min="63" max="64" width="9.8515625" style="204" customWidth="1"/>
    <col min="65" max="65" width="10.140625" style="204" customWidth="1"/>
    <col min="66" max="66" width="9.8515625" style="204" customWidth="1"/>
    <col min="67" max="67" width="9.00390625" style="204" customWidth="1"/>
    <col min="68" max="68" width="9.57421875" style="204" bestFit="1" customWidth="1"/>
    <col min="69" max="69" width="11.8515625" style="204" bestFit="1" customWidth="1"/>
    <col min="70" max="70" width="14.421875" style="204" bestFit="1" customWidth="1"/>
    <col min="71" max="71" width="19.421875" style="204" bestFit="1" customWidth="1"/>
    <col min="72" max="72" width="12.8515625" style="204" bestFit="1" customWidth="1"/>
    <col min="73" max="73" width="14.8515625" style="204" bestFit="1" customWidth="1"/>
    <col min="74" max="74" width="9.57421875" style="204" bestFit="1" customWidth="1"/>
    <col min="75" max="75" width="11.8515625" style="204" bestFit="1" customWidth="1"/>
    <col min="76" max="76" width="14.421875" style="204" bestFit="1" customWidth="1"/>
    <col min="77" max="77" width="19.421875" style="204" bestFit="1" customWidth="1"/>
    <col min="78" max="78" width="12.8515625" style="204" bestFit="1" customWidth="1"/>
    <col min="79" max="79" width="14.8515625" style="204" bestFit="1" customWidth="1"/>
    <col min="80" max="80" width="9.57421875" style="204" bestFit="1" customWidth="1"/>
    <col min="81" max="81" width="11.8515625" style="204" bestFit="1" customWidth="1"/>
    <col min="82" max="82" width="14.421875" style="204" bestFit="1" customWidth="1"/>
    <col min="83" max="83" width="19.421875" style="204" bestFit="1" customWidth="1"/>
    <col min="84" max="84" width="12.8515625" style="204" bestFit="1" customWidth="1"/>
    <col min="85" max="85" width="14.8515625" style="204" bestFit="1" customWidth="1"/>
    <col min="86" max="86" width="9.57421875" style="204" bestFit="1" customWidth="1"/>
    <col min="87" max="87" width="11.8515625" style="204" bestFit="1" customWidth="1"/>
    <col min="88" max="88" width="14.421875" style="204" bestFit="1" customWidth="1"/>
    <col min="89" max="89" width="19.421875" style="204" bestFit="1" customWidth="1"/>
    <col min="90" max="90" width="12.8515625" style="204" bestFit="1" customWidth="1"/>
    <col min="91" max="91" width="14.8515625" style="204" bestFit="1" customWidth="1"/>
    <col min="92" max="92" width="9.57421875" style="204" bestFit="1" customWidth="1"/>
    <col min="93" max="93" width="11.8515625" style="204" bestFit="1" customWidth="1"/>
    <col min="94" max="94" width="14.421875" style="204" bestFit="1" customWidth="1"/>
    <col min="95" max="95" width="19.421875" style="204" bestFit="1" customWidth="1"/>
    <col min="96" max="96" width="12.8515625" style="204" bestFit="1" customWidth="1"/>
    <col min="97" max="97" width="14.8515625" style="204" bestFit="1" customWidth="1"/>
    <col min="98" max="98" width="9.57421875" style="204" bestFit="1" customWidth="1"/>
    <col min="99" max="99" width="11.8515625" style="204" bestFit="1" customWidth="1"/>
    <col min="100" max="100" width="14.421875" style="204" bestFit="1" customWidth="1"/>
    <col min="101" max="101" width="19.421875" style="204" bestFit="1" customWidth="1"/>
    <col min="102" max="102" width="12.8515625" style="204" bestFit="1" customWidth="1"/>
    <col min="103" max="103" width="14.8515625" style="204" bestFit="1" customWidth="1"/>
    <col min="104" max="104" width="9.57421875" style="204" bestFit="1" customWidth="1"/>
    <col min="105" max="105" width="11.8515625" style="204" bestFit="1" customWidth="1"/>
    <col min="106" max="106" width="14.421875" style="204" bestFit="1" customWidth="1"/>
    <col min="107" max="107" width="19.421875" style="204" bestFit="1" customWidth="1"/>
    <col min="108" max="108" width="12.8515625" style="204" bestFit="1" customWidth="1"/>
    <col min="109" max="109" width="14.8515625" style="204" bestFit="1" customWidth="1"/>
    <col min="110" max="110" width="9.57421875" style="204" bestFit="1" customWidth="1"/>
    <col min="111" max="111" width="11.8515625" style="204" bestFit="1" customWidth="1"/>
    <col min="112" max="112" width="14.421875" style="204" bestFit="1" customWidth="1"/>
    <col min="113" max="113" width="19.421875" style="204" bestFit="1" customWidth="1"/>
    <col min="114" max="114" width="12.8515625" style="204" bestFit="1" customWidth="1"/>
    <col min="115" max="115" width="14.8515625" style="204" bestFit="1" customWidth="1"/>
    <col min="116" max="116" width="9.57421875" style="204" bestFit="1" customWidth="1"/>
    <col min="117" max="117" width="11.8515625" style="204" bestFit="1" customWidth="1"/>
    <col min="118" max="118" width="14.421875" style="204" bestFit="1" customWidth="1"/>
    <col min="119" max="119" width="19.421875" style="204" bestFit="1" customWidth="1"/>
    <col min="120" max="120" width="12.8515625" style="204" bestFit="1" customWidth="1"/>
    <col min="121" max="121" width="14.8515625" style="204" bestFit="1" customWidth="1"/>
    <col min="122" max="122" width="9.00390625" style="204" customWidth="1"/>
    <col min="123" max="123" width="9.7109375" style="204" customWidth="1"/>
    <col min="124" max="124" width="14.421875" style="204" bestFit="1" customWidth="1"/>
    <col min="125" max="125" width="19.421875" style="204" bestFit="1" customWidth="1"/>
    <col min="126" max="126" width="12.8515625" style="204" bestFit="1" customWidth="1"/>
    <col min="127" max="127" width="14.8515625" style="204" bestFit="1" customWidth="1"/>
    <col min="128" max="128" width="9.57421875" style="204" bestFit="1" customWidth="1"/>
    <col min="129" max="129" width="11.8515625" style="204" bestFit="1" customWidth="1"/>
    <col min="130" max="130" width="14.421875" style="204" bestFit="1" customWidth="1"/>
    <col min="131" max="131" width="19.421875" style="204" bestFit="1" customWidth="1"/>
    <col min="132" max="132" width="12.8515625" style="204" bestFit="1" customWidth="1"/>
    <col min="133" max="133" width="14.8515625" style="204" bestFit="1" customWidth="1"/>
    <col min="134" max="134" width="9.57421875" style="204" bestFit="1" customWidth="1"/>
    <col min="135" max="135" width="11.8515625" style="204" bestFit="1" customWidth="1"/>
    <col min="136" max="136" width="14.421875" style="204" bestFit="1" customWidth="1"/>
    <col min="137" max="137" width="19.421875" style="204" bestFit="1" customWidth="1"/>
    <col min="138" max="138" width="12.8515625" style="204" bestFit="1" customWidth="1"/>
    <col min="139" max="139" width="14.8515625" style="204" bestFit="1" customWidth="1"/>
    <col min="140" max="140" width="9.57421875" style="204" bestFit="1" customWidth="1"/>
    <col min="141" max="141" width="11.8515625" style="204" bestFit="1" customWidth="1"/>
    <col min="142" max="142" width="14.421875" style="204" bestFit="1" customWidth="1"/>
    <col min="143" max="143" width="19.421875" style="204" bestFit="1" customWidth="1"/>
    <col min="144" max="144" width="12.8515625" style="204" bestFit="1" customWidth="1"/>
    <col min="145" max="145" width="14.8515625" style="204" bestFit="1" customWidth="1"/>
    <col min="146" max="16384" width="9.140625" style="204" customWidth="1"/>
  </cols>
  <sheetData>
    <row r="1" spans="1:145" ht="17.25">
      <c r="A1" s="1874" t="s">
        <v>318</v>
      </c>
      <c r="B1" s="1874"/>
      <c r="C1" s="1874"/>
      <c r="D1" s="1874"/>
      <c r="E1" s="1874"/>
      <c r="F1" s="1874"/>
      <c r="G1" s="1874"/>
      <c r="H1" s="1874"/>
      <c r="I1" s="1874"/>
      <c r="J1" s="1874"/>
      <c r="K1" s="1874"/>
      <c r="L1" s="1874"/>
      <c r="M1" s="1874"/>
      <c r="N1" s="1874"/>
      <c r="O1" s="1874"/>
      <c r="P1" s="1874"/>
      <c r="Q1" s="1874"/>
      <c r="R1" s="1874"/>
      <c r="S1" s="1874"/>
      <c r="T1" s="1874"/>
      <c r="U1" s="1874"/>
      <c r="V1" s="1874"/>
      <c r="W1" s="1874"/>
      <c r="X1" s="1874"/>
      <c r="Y1" s="1874"/>
      <c r="Z1" s="1874"/>
      <c r="AA1" s="1874"/>
      <c r="AB1" s="1874"/>
      <c r="AC1" s="1874"/>
      <c r="AD1" s="1874"/>
      <c r="AE1" s="1874"/>
      <c r="AF1" s="1874"/>
      <c r="AG1" s="1874"/>
      <c r="AH1" s="1874"/>
      <c r="AI1" s="1874"/>
      <c r="AJ1" s="1874"/>
      <c r="AK1" s="1874"/>
      <c r="AL1" s="1874"/>
      <c r="AM1" s="1874"/>
      <c r="AN1" s="1874"/>
      <c r="AO1" s="1874"/>
      <c r="AP1" s="1874"/>
      <c r="AQ1" s="1874"/>
      <c r="AR1" s="1874"/>
      <c r="AS1" s="1874"/>
      <c r="AT1" s="1874"/>
      <c r="AU1" s="1874"/>
      <c r="AV1" s="1874"/>
      <c r="AW1" s="1874"/>
      <c r="AX1" s="1874"/>
      <c r="AY1" s="1874"/>
      <c r="AZ1" s="1874"/>
      <c r="BA1" s="1874"/>
      <c r="BB1" s="1874"/>
      <c r="BC1" s="1874"/>
      <c r="BD1" s="1874"/>
      <c r="BE1" s="1874"/>
      <c r="BF1" s="1874"/>
      <c r="BG1" s="1874"/>
      <c r="BH1" s="1874"/>
      <c r="BI1" s="1874"/>
      <c r="BJ1" s="1874"/>
      <c r="BK1" s="1874"/>
      <c r="BL1" s="1874"/>
      <c r="BM1" s="1874"/>
      <c r="BN1" s="1874"/>
      <c r="BO1" s="1874"/>
      <c r="BP1" s="1874"/>
      <c r="BQ1" s="1874"/>
      <c r="BR1" s="1874"/>
      <c r="BS1" s="1874"/>
      <c r="BT1" s="1874"/>
      <c r="BU1" s="1874"/>
      <c r="BV1" s="1874"/>
      <c r="BW1" s="1874"/>
      <c r="BX1" s="1874"/>
      <c r="BY1" s="1874"/>
      <c r="BZ1" s="1874"/>
      <c r="CA1" s="1874"/>
      <c r="CB1" s="1874"/>
      <c r="CC1" s="1874"/>
      <c r="CD1" s="1874"/>
      <c r="CE1" s="1874"/>
      <c r="CF1" s="1874"/>
      <c r="CG1" s="1874"/>
      <c r="CH1" s="1874"/>
      <c r="CI1" s="1874"/>
      <c r="CJ1" s="1874"/>
      <c r="CK1" s="1874"/>
      <c r="CL1" s="1874"/>
      <c r="CM1" s="1874"/>
      <c r="CN1" s="1874"/>
      <c r="CO1" s="1874"/>
      <c r="CP1" s="1874"/>
      <c r="CQ1" s="1874"/>
      <c r="CR1" s="1874"/>
      <c r="CS1" s="1874"/>
      <c r="CT1" s="1874"/>
      <c r="CU1" s="1874"/>
      <c r="CV1" s="1874"/>
      <c r="CW1" s="1874"/>
      <c r="CX1" s="1874"/>
      <c r="CY1" s="1874"/>
      <c r="CZ1" s="1874"/>
      <c r="DA1" s="1874"/>
      <c r="DB1" s="1874"/>
      <c r="DC1" s="1874"/>
      <c r="DD1" s="1874"/>
      <c r="DE1" s="1874"/>
      <c r="DF1" s="1874"/>
      <c r="DG1" s="1874"/>
      <c r="DH1" s="1874"/>
      <c r="DI1" s="1874"/>
      <c r="DJ1" s="1874"/>
      <c r="DK1" s="1874"/>
      <c r="DL1" s="1874"/>
      <c r="DM1" s="1874"/>
      <c r="DN1" s="1874"/>
      <c r="DO1" s="1874"/>
      <c r="DP1" s="1874"/>
      <c r="DQ1" s="1874"/>
      <c r="DR1" s="1874"/>
      <c r="DS1" s="1874"/>
      <c r="DT1" s="1874"/>
      <c r="DU1" s="1874"/>
      <c r="DV1" s="1874"/>
      <c r="DW1" s="1874"/>
      <c r="DX1" s="1874"/>
      <c r="DY1" s="1874"/>
      <c r="DZ1" s="1874"/>
      <c r="EA1" s="1874"/>
      <c r="EB1" s="1874"/>
      <c r="EC1" s="1874"/>
      <c r="ED1" s="1874"/>
      <c r="EE1" s="1874"/>
      <c r="EF1" s="1874"/>
      <c r="EG1" s="1874"/>
      <c r="EH1" s="1874"/>
      <c r="EI1" s="1874"/>
      <c r="EJ1" s="1874"/>
      <c r="EK1" s="1874"/>
      <c r="EL1" s="1874"/>
      <c r="EM1" s="1874"/>
      <c r="EN1" s="1874"/>
      <c r="EO1" s="1874"/>
    </row>
    <row r="2" spans="1:145" ht="10.5" customHeight="1" thickBot="1">
      <c r="A2" s="1875"/>
      <c r="B2" s="1875"/>
      <c r="C2" s="1875"/>
      <c r="D2" s="1875"/>
      <c r="E2" s="1875"/>
      <c r="F2" s="1875"/>
      <c r="G2" s="1875"/>
      <c r="H2" s="1875"/>
      <c r="I2" s="1875"/>
      <c r="J2" s="1875"/>
      <c r="K2" s="1875"/>
      <c r="L2" s="1875"/>
      <c r="M2" s="1875"/>
      <c r="N2" s="1875"/>
      <c r="O2" s="1875"/>
      <c r="P2" s="1875"/>
      <c r="Q2" s="1875"/>
      <c r="R2" s="1875"/>
      <c r="S2" s="1875"/>
      <c r="T2" s="1875"/>
      <c r="U2" s="1875"/>
      <c r="V2" s="1875"/>
      <c r="W2" s="1875"/>
      <c r="X2" s="1875"/>
      <c r="Y2" s="1875"/>
      <c r="Z2" s="1875"/>
      <c r="AA2" s="1875"/>
      <c r="AB2" s="1875"/>
      <c r="AC2" s="1875"/>
      <c r="AD2" s="1875"/>
      <c r="AE2" s="1875"/>
      <c r="AF2" s="1875"/>
      <c r="AG2" s="1875"/>
      <c r="AH2" s="1875"/>
      <c r="AI2" s="1875"/>
      <c r="AJ2" s="1875"/>
      <c r="AK2" s="1875"/>
      <c r="AL2" s="1875"/>
      <c r="AM2" s="1875"/>
      <c r="AN2" s="1875"/>
      <c r="AO2" s="1875"/>
      <c r="AP2" s="1875"/>
      <c r="AQ2" s="1875"/>
      <c r="AR2" s="1875"/>
      <c r="AS2" s="1875"/>
      <c r="AT2" s="1875"/>
      <c r="AU2" s="1875"/>
      <c r="AV2" s="1875"/>
      <c r="AW2" s="1875"/>
      <c r="AX2" s="1875"/>
      <c r="AY2" s="1875"/>
      <c r="AZ2" s="1875"/>
      <c r="BA2" s="1875"/>
      <c r="BB2" s="1875"/>
      <c r="BC2" s="1875"/>
      <c r="BD2" s="1875"/>
      <c r="BE2" s="1875"/>
      <c r="BF2" s="1875"/>
      <c r="BG2" s="1875"/>
      <c r="BH2" s="1875"/>
      <c r="BI2" s="1875"/>
      <c r="BJ2" s="1875"/>
      <c r="BK2" s="1875"/>
      <c r="BL2" s="1875"/>
      <c r="BM2" s="1875"/>
      <c r="BN2" s="1875"/>
      <c r="BO2" s="1875"/>
      <c r="BP2" s="1875"/>
      <c r="BQ2" s="1875"/>
      <c r="BR2" s="1875"/>
      <c r="BS2" s="1875"/>
      <c r="BT2" s="1875"/>
      <c r="BU2" s="1875"/>
      <c r="BV2" s="1875"/>
      <c r="BW2" s="1875"/>
      <c r="BX2" s="1875"/>
      <c r="BY2" s="1875"/>
      <c r="BZ2" s="1875"/>
      <c r="CA2" s="1875"/>
      <c r="CB2" s="1875"/>
      <c r="CC2" s="1875"/>
      <c r="CD2" s="1875"/>
      <c r="CE2" s="1875"/>
      <c r="CF2" s="1875"/>
      <c r="CG2" s="1875"/>
      <c r="CH2" s="1875"/>
      <c r="CI2" s="1875"/>
      <c r="CJ2" s="1875"/>
      <c r="CK2" s="1875"/>
      <c r="CL2" s="1875"/>
      <c r="CM2" s="1875"/>
      <c r="CN2" s="1875"/>
      <c r="CO2" s="1875"/>
      <c r="CP2" s="1875"/>
      <c r="CQ2" s="1875"/>
      <c r="CR2" s="1875"/>
      <c r="CS2" s="1875"/>
      <c r="CT2" s="1875"/>
      <c r="CU2" s="1875"/>
      <c r="CV2" s="1875"/>
      <c r="CW2" s="1875"/>
      <c r="CX2" s="1875"/>
      <c r="CY2" s="1875"/>
      <c r="CZ2" s="1875"/>
      <c r="DA2" s="1875"/>
      <c r="DB2" s="1875"/>
      <c r="DC2" s="1875"/>
      <c r="DD2" s="1875"/>
      <c r="DE2" s="1875"/>
      <c r="DF2" s="1875"/>
      <c r="DG2" s="1875"/>
      <c r="DH2" s="1875"/>
      <c r="DI2" s="1875"/>
      <c r="DJ2" s="1875"/>
      <c r="DK2" s="1875"/>
      <c r="DL2" s="1875"/>
      <c r="DM2" s="1875"/>
      <c r="DN2" s="1875"/>
      <c r="DO2" s="1875"/>
      <c r="DP2" s="1875"/>
      <c r="DQ2" s="1875"/>
      <c r="DR2" s="1875"/>
      <c r="DS2" s="1875"/>
      <c r="DT2" s="1875"/>
      <c r="DU2" s="1875"/>
      <c r="DV2" s="1875"/>
      <c r="DW2" s="1875"/>
      <c r="DX2" s="1875"/>
      <c r="DY2" s="1875"/>
      <c r="DZ2" s="1875"/>
      <c r="EA2" s="1875"/>
      <c r="EB2" s="1875"/>
      <c r="EC2" s="1875"/>
      <c r="ED2" s="1875"/>
      <c r="EE2" s="1875"/>
      <c r="EF2" s="1875"/>
      <c r="EG2" s="1875"/>
      <c r="EH2" s="1875"/>
      <c r="EI2" s="1875"/>
      <c r="EJ2" s="1875"/>
      <c r="EK2" s="1875"/>
      <c r="EL2" s="1875"/>
      <c r="EM2" s="1875"/>
      <c r="EN2" s="1875"/>
      <c r="EO2" s="1875"/>
    </row>
    <row r="3" spans="1:145" s="1472" customFormat="1" ht="17.25" customHeight="1" thickBot="1">
      <c r="A3" s="1876" t="s">
        <v>125</v>
      </c>
      <c r="B3" s="1878" t="s">
        <v>190</v>
      </c>
      <c r="C3" s="1878"/>
      <c r="D3" s="1878"/>
      <c r="E3" s="1878"/>
      <c r="F3" s="1878"/>
      <c r="G3" s="1879"/>
      <c r="H3" s="1746" t="s">
        <v>191</v>
      </c>
      <c r="I3" s="1747"/>
      <c r="J3" s="1747"/>
      <c r="K3" s="1747"/>
      <c r="L3" s="1747"/>
      <c r="M3" s="1880"/>
      <c r="N3" s="1746" t="s">
        <v>192</v>
      </c>
      <c r="O3" s="1747"/>
      <c r="P3" s="1747"/>
      <c r="Q3" s="1747"/>
      <c r="R3" s="1747"/>
      <c r="S3" s="1880"/>
      <c r="T3" s="1747" t="s">
        <v>193</v>
      </c>
      <c r="U3" s="1747"/>
      <c r="V3" s="1747"/>
      <c r="W3" s="1747"/>
      <c r="X3" s="1747"/>
      <c r="Y3" s="1880"/>
      <c r="Z3" s="1747" t="s">
        <v>194</v>
      </c>
      <c r="AA3" s="1747"/>
      <c r="AB3" s="1747"/>
      <c r="AC3" s="1747"/>
      <c r="AD3" s="1747"/>
      <c r="AE3" s="1880"/>
      <c r="AF3" s="1747" t="s">
        <v>195</v>
      </c>
      <c r="AG3" s="1747"/>
      <c r="AH3" s="1747"/>
      <c r="AI3" s="1747"/>
      <c r="AJ3" s="1747"/>
      <c r="AK3" s="1880"/>
      <c r="AL3" s="1747" t="s">
        <v>461</v>
      </c>
      <c r="AM3" s="1747"/>
      <c r="AN3" s="1747"/>
      <c r="AO3" s="1747"/>
      <c r="AP3" s="1747"/>
      <c r="AQ3" s="1880"/>
      <c r="AR3" s="1747" t="s">
        <v>197</v>
      </c>
      <c r="AS3" s="1747"/>
      <c r="AT3" s="1747"/>
      <c r="AU3" s="1747"/>
      <c r="AV3" s="1747"/>
      <c r="AW3" s="1880"/>
      <c r="AX3" s="1747" t="s">
        <v>460</v>
      </c>
      <c r="AY3" s="1747"/>
      <c r="AZ3" s="1747"/>
      <c r="BA3" s="1747"/>
      <c r="BB3" s="1747"/>
      <c r="BC3" s="1880"/>
      <c r="BD3" s="1747" t="s">
        <v>199</v>
      </c>
      <c r="BE3" s="1747"/>
      <c r="BF3" s="1747"/>
      <c r="BG3" s="1747"/>
      <c r="BH3" s="1747"/>
      <c r="BI3" s="1880"/>
      <c r="BJ3" s="1747" t="s">
        <v>200</v>
      </c>
      <c r="BK3" s="1747"/>
      <c r="BL3" s="1747"/>
      <c r="BM3" s="1747"/>
      <c r="BN3" s="1747"/>
      <c r="BO3" s="1880"/>
      <c r="BP3" s="1747" t="s">
        <v>201</v>
      </c>
      <c r="BQ3" s="1747"/>
      <c r="BR3" s="1747"/>
      <c r="BS3" s="1747"/>
      <c r="BT3" s="1747"/>
      <c r="BU3" s="1880"/>
      <c r="BV3" s="1746" t="s">
        <v>319</v>
      </c>
      <c r="BW3" s="1747"/>
      <c r="BX3" s="1747"/>
      <c r="BY3" s="1747"/>
      <c r="BZ3" s="1747"/>
      <c r="CA3" s="1880"/>
      <c r="CB3" s="1746" t="s">
        <v>203</v>
      </c>
      <c r="CC3" s="1747"/>
      <c r="CD3" s="1747"/>
      <c r="CE3" s="1747"/>
      <c r="CF3" s="1747"/>
      <c r="CG3" s="1880"/>
      <c r="CH3" s="1871" t="s">
        <v>204</v>
      </c>
      <c r="CI3" s="1872"/>
      <c r="CJ3" s="1872"/>
      <c r="CK3" s="1872"/>
      <c r="CL3" s="1872"/>
      <c r="CM3" s="1873"/>
      <c r="CN3" s="1746" t="s">
        <v>205</v>
      </c>
      <c r="CO3" s="1747"/>
      <c r="CP3" s="1747"/>
      <c r="CQ3" s="1747"/>
      <c r="CR3" s="1747"/>
      <c r="CS3" s="1880"/>
      <c r="CT3" s="1746" t="s">
        <v>206</v>
      </c>
      <c r="CU3" s="1747"/>
      <c r="CV3" s="1747"/>
      <c r="CW3" s="1747"/>
      <c r="CX3" s="1747"/>
      <c r="CY3" s="1880"/>
      <c r="CZ3" s="1746" t="s">
        <v>207</v>
      </c>
      <c r="DA3" s="1747"/>
      <c r="DB3" s="1747"/>
      <c r="DC3" s="1747"/>
      <c r="DD3" s="1747"/>
      <c r="DE3" s="1880"/>
      <c r="DF3" s="1871" t="s">
        <v>208</v>
      </c>
      <c r="DG3" s="1872"/>
      <c r="DH3" s="1872"/>
      <c r="DI3" s="1872"/>
      <c r="DJ3" s="1872"/>
      <c r="DK3" s="1873"/>
      <c r="DL3" s="1746" t="s">
        <v>209</v>
      </c>
      <c r="DM3" s="1747"/>
      <c r="DN3" s="1747"/>
      <c r="DO3" s="1747"/>
      <c r="DP3" s="1747"/>
      <c r="DQ3" s="1880"/>
      <c r="DR3" s="1746" t="s">
        <v>454</v>
      </c>
      <c r="DS3" s="1747"/>
      <c r="DT3" s="1747"/>
      <c r="DU3" s="1747"/>
      <c r="DV3" s="1747"/>
      <c r="DW3" s="1880"/>
      <c r="DX3" s="1746" t="s">
        <v>211</v>
      </c>
      <c r="DY3" s="1747"/>
      <c r="DZ3" s="1747"/>
      <c r="EA3" s="1747"/>
      <c r="EB3" s="1747"/>
      <c r="EC3" s="1747"/>
      <c r="ED3" s="1746" t="s">
        <v>459</v>
      </c>
      <c r="EE3" s="1747"/>
      <c r="EF3" s="1747"/>
      <c r="EG3" s="1747"/>
      <c r="EH3" s="1747"/>
      <c r="EI3" s="1747"/>
      <c r="EJ3" s="1871" t="s">
        <v>214</v>
      </c>
      <c r="EK3" s="1872"/>
      <c r="EL3" s="1872"/>
      <c r="EM3" s="1872"/>
      <c r="EN3" s="1872"/>
      <c r="EO3" s="1873"/>
    </row>
    <row r="4" spans="1:145" s="1421" customFormat="1" ht="17.25" thickBot="1">
      <c r="A4" s="1877"/>
      <c r="B4" s="1188" t="s">
        <v>126</v>
      </c>
      <c r="C4" s="1189" t="s">
        <v>127</v>
      </c>
      <c r="D4" s="1189" t="s">
        <v>128</v>
      </c>
      <c r="E4" s="1189" t="s">
        <v>129</v>
      </c>
      <c r="F4" s="1189" t="s">
        <v>130</v>
      </c>
      <c r="G4" s="1190" t="s">
        <v>131</v>
      </c>
      <c r="H4" s="1191" t="s">
        <v>126</v>
      </c>
      <c r="I4" s="1192" t="s">
        <v>127</v>
      </c>
      <c r="J4" s="1192" t="s">
        <v>128</v>
      </c>
      <c r="K4" s="1192" t="s">
        <v>129</v>
      </c>
      <c r="L4" s="1192" t="s">
        <v>130</v>
      </c>
      <c r="M4" s="1191" t="s">
        <v>131</v>
      </c>
      <c r="N4" s="1092" t="s">
        <v>126</v>
      </c>
      <c r="O4" s="1192" t="s">
        <v>127</v>
      </c>
      <c r="P4" s="1192" t="s">
        <v>128</v>
      </c>
      <c r="Q4" s="1192" t="s">
        <v>129</v>
      </c>
      <c r="R4" s="1192" t="s">
        <v>130</v>
      </c>
      <c r="S4" s="1191" t="s">
        <v>131</v>
      </c>
      <c r="T4" s="1092" t="s">
        <v>126</v>
      </c>
      <c r="U4" s="1192" t="s">
        <v>127</v>
      </c>
      <c r="V4" s="1192" t="s">
        <v>128</v>
      </c>
      <c r="W4" s="1192" t="s">
        <v>129</v>
      </c>
      <c r="X4" s="1192" t="s">
        <v>130</v>
      </c>
      <c r="Y4" s="1191" t="s">
        <v>131</v>
      </c>
      <c r="Z4" s="1092" t="s">
        <v>126</v>
      </c>
      <c r="AA4" s="1192" t="s">
        <v>127</v>
      </c>
      <c r="AB4" s="1192" t="s">
        <v>128</v>
      </c>
      <c r="AC4" s="1192" t="s">
        <v>129</v>
      </c>
      <c r="AD4" s="1192" t="s">
        <v>130</v>
      </c>
      <c r="AE4" s="1191" t="s">
        <v>131</v>
      </c>
      <c r="AF4" s="1092" t="s">
        <v>126</v>
      </c>
      <c r="AG4" s="1192" t="s">
        <v>127</v>
      </c>
      <c r="AH4" s="1192" t="s">
        <v>128</v>
      </c>
      <c r="AI4" s="1192" t="s">
        <v>129</v>
      </c>
      <c r="AJ4" s="1192" t="s">
        <v>130</v>
      </c>
      <c r="AK4" s="1191" t="s">
        <v>131</v>
      </c>
      <c r="AL4" s="1092" t="s">
        <v>126</v>
      </c>
      <c r="AM4" s="1192" t="s">
        <v>127</v>
      </c>
      <c r="AN4" s="1192" t="s">
        <v>128</v>
      </c>
      <c r="AO4" s="1192" t="s">
        <v>129</v>
      </c>
      <c r="AP4" s="1192" t="s">
        <v>130</v>
      </c>
      <c r="AQ4" s="1191" t="s">
        <v>131</v>
      </c>
      <c r="AR4" s="1092" t="s">
        <v>126</v>
      </c>
      <c r="AS4" s="1192" t="s">
        <v>127</v>
      </c>
      <c r="AT4" s="1192" t="s">
        <v>128</v>
      </c>
      <c r="AU4" s="1192" t="s">
        <v>129</v>
      </c>
      <c r="AV4" s="1192" t="s">
        <v>130</v>
      </c>
      <c r="AW4" s="1191" t="s">
        <v>131</v>
      </c>
      <c r="AX4" s="1092" t="s">
        <v>126</v>
      </c>
      <c r="AY4" s="1192" t="s">
        <v>127</v>
      </c>
      <c r="AZ4" s="1192" t="s">
        <v>128</v>
      </c>
      <c r="BA4" s="1192" t="s">
        <v>129</v>
      </c>
      <c r="BB4" s="1192" t="s">
        <v>130</v>
      </c>
      <c r="BC4" s="1191" t="s">
        <v>131</v>
      </c>
      <c r="BD4" s="1092" t="s">
        <v>126</v>
      </c>
      <c r="BE4" s="1192" t="s">
        <v>127</v>
      </c>
      <c r="BF4" s="1192" t="s">
        <v>128</v>
      </c>
      <c r="BG4" s="1192" t="s">
        <v>129</v>
      </c>
      <c r="BH4" s="1192" t="s">
        <v>130</v>
      </c>
      <c r="BI4" s="1191" t="s">
        <v>131</v>
      </c>
      <c r="BJ4" s="1092" t="s">
        <v>126</v>
      </c>
      <c r="BK4" s="1192" t="s">
        <v>127</v>
      </c>
      <c r="BL4" s="1192" t="s">
        <v>128</v>
      </c>
      <c r="BM4" s="1192" t="s">
        <v>129</v>
      </c>
      <c r="BN4" s="1192" t="s">
        <v>130</v>
      </c>
      <c r="BO4" s="1191" t="s">
        <v>131</v>
      </c>
      <c r="BP4" s="1092" t="s">
        <v>126</v>
      </c>
      <c r="BQ4" s="1192" t="s">
        <v>127</v>
      </c>
      <c r="BR4" s="1192" t="s">
        <v>128</v>
      </c>
      <c r="BS4" s="1192" t="s">
        <v>129</v>
      </c>
      <c r="BT4" s="1192" t="s">
        <v>130</v>
      </c>
      <c r="BU4" s="1191" t="s">
        <v>131</v>
      </c>
      <c r="BV4" s="1092" t="s">
        <v>126</v>
      </c>
      <c r="BW4" s="1192" t="s">
        <v>127</v>
      </c>
      <c r="BX4" s="1192" t="s">
        <v>128</v>
      </c>
      <c r="BY4" s="1192" t="s">
        <v>129</v>
      </c>
      <c r="BZ4" s="1192" t="s">
        <v>130</v>
      </c>
      <c r="CA4" s="1191" t="s">
        <v>131</v>
      </c>
      <c r="CB4" s="1092" t="s">
        <v>126</v>
      </c>
      <c r="CC4" s="1192" t="s">
        <v>127</v>
      </c>
      <c r="CD4" s="1192" t="s">
        <v>128</v>
      </c>
      <c r="CE4" s="1192" t="s">
        <v>129</v>
      </c>
      <c r="CF4" s="1192" t="s">
        <v>130</v>
      </c>
      <c r="CG4" s="1191" t="s">
        <v>131</v>
      </c>
      <c r="CH4" s="1092" t="s">
        <v>126</v>
      </c>
      <c r="CI4" s="1192" t="s">
        <v>127</v>
      </c>
      <c r="CJ4" s="1192" t="s">
        <v>128</v>
      </c>
      <c r="CK4" s="1192" t="s">
        <v>129</v>
      </c>
      <c r="CL4" s="1192" t="s">
        <v>130</v>
      </c>
      <c r="CM4" s="1191" t="s">
        <v>131</v>
      </c>
      <c r="CN4" s="1092" t="s">
        <v>126</v>
      </c>
      <c r="CO4" s="1192" t="s">
        <v>127</v>
      </c>
      <c r="CP4" s="1192" t="s">
        <v>128</v>
      </c>
      <c r="CQ4" s="1192" t="s">
        <v>129</v>
      </c>
      <c r="CR4" s="1192" t="s">
        <v>130</v>
      </c>
      <c r="CS4" s="1191" t="s">
        <v>131</v>
      </c>
      <c r="CT4" s="1092" t="s">
        <v>126</v>
      </c>
      <c r="CU4" s="1192" t="s">
        <v>127</v>
      </c>
      <c r="CV4" s="1192" t="s">
        <v>128</v>
      </c>
      <c r="CW4" s="1192" t="s">
        <v>129</v>
      </c>
      <c r="CX4" s="1192" t="s">
        <v>130</v>
      </c>
      <c r="CY4" s="1191" t="s">
        <v>131</v>
      </c>
      <c r="CZ4" s="1092" t="s">
        <v>126</v>
      </c>
      <c r="DA4" s="1192" t="s">
        <v>127</v>
      </c>
      <c r="DB4" s="1192" t="s">
        <v>128</v>
      </c>
      <c r="DC4" s="1192" t="s">
        <v>129</v>
      </c>
      <c r="DD4" s="1192" t="s">
        <v>130</v>
      </c>
      <c r="DE4" s="1191" t="s">
        <v>131</v>
      </c>
      <c r="DF4" s="1092" t="s">
        <v>126</v>
      </c>
      <c r="DG4" s="1192" t="s">
        <v>127</v>
      </c>
      <c r="DH4" s="1192" t="s">
        <v>128</v>
      </c>
      <c r="DI4" s="1192" t="s">
        <v>129</v>
      </c>
      <c r="DJ4" s="1192" t="s">
        <v>130</v>
      </c>
      <c r="DK4" s="1191" t="s">
        <v>131</v>
      </c>
      <c r="DL4" s="1092" t="s">
        <v>126</v>
      </c>
      <c r="DM4" s="1192" t="s">
        <v>127</v>
      </c>
      <c r="DN4" s="1192" t="s">
        <v>128</v>
      </c>
      <c r="DO4" s="1192" t="s">
        <v>129</v>
      </c>
      <c r="DP4" s="1192" t="s">
        <v>130</v>
      </c>
      <c r="DQ4" s="1191" t="s">
        <v>131</v>
      </c>
      <c r="DR4" s="1092" t="s">
        <v>126</v>
      </c>
      <c r="DS4" s="1192" t="s">
        <v>127</v>
      </c>
      <c r="DT4" s="1192" t="s">
        <v>128</v>
      </c>
      <c r="DU4" s="1192" t="s">
        <v>129</v>
      </c>
      <c r="DV4" s="1192" t="s">
        <v>130</v>
      </c>
      <c r="DW4" s="1191" t="s">
        <v>131</v>
      </c>
      <c r="DX4" s="1092" t="s">
        <v>126</v>
      </c>
      <c r="DY4" s="1192" t="s">
        <v>127</v>
      </c>
      <c r="DZ4" s="1192" t="s">
        <v>128</v>
      </c>
      <c r="EA4" s="1192" t="s">
        <v>129</v>
      </c>
      <c r="EB4" s="1192" t="s">
        <v>130</v>
      </c>
      <c r="EC4" s="1191" t="s">
        <v>131</v>
      </c>
      <c r="ED4" s="1092" t="s">
        <v>126</v>
      </c>
      <c r="EE4" s="1192" t="s">
        <v>127</v>
      </c>
      <c r="EF4" s="1192" t="s">
        <v>128</v>
      </c>
      <c r="EG4" s="1192" t="s">
        <v>129</v>
      </c>
      <c r="EH4" s="1192" t="s">
        <v>130</v>
      </c>
      <c r="EI4" s="1191" t="s">
        <v>131</v>
      </c>
      <c r="EJ4" s="1092" t="s">
        <v>126</v>
      </c>
      <c r="EK4" s="1192" t="s">
        <v>127</v>
      </c>
      <c r="EL4" s="1192" t="s">
        <v>128</v>
      </c>
      <c r="EM4" s="1192" t="s">
        <v>129</v>
      </c>
      <c r="EN4" s="1192" t="s">
        <v>130</v>
      </c>
      <c r="EO4" s="1191" t="s">
        <v>131</v>
      </c>
    </row>
    <row r="5" spans="1:145" s="1534" customFormat="1" ht="18">
      <c r="A5" s="1011" t="s">
        <v>132</v>
      </c>
      <c r="B5" s="1510">
        <v>152</v>
      </c>
      <c r="C5" s="1508">
        <v>916</v>
      </c>
      <c r="D5" s="1508">
        <v>335</v>
      </c>
      <c r="E5" s="1508">
        <v>456</v>
      </c>
      <c r="F5" s="1508">
        <v>219</v>
      </c>
      <c r="G5" s="1509">
        <v>4041</v>
      </c>
      <c r="H5" s="1543">
        <v>32</v>
      </c>
      <c r="I5" s="1271">
        <v>8</v>
      </c>
      <c r="J5" s="1271">
        <v>117</v>
      </c>
      <c r="K5" s="1271">
        <v>0</v>
      </c>
      <c r="L5" s="1271">
        <v>229</v>
      </c>
      <c r="M5" s="1272">
        <v>19</v>
      </c>
      <c r="N5" s="1273">
        <v>26</v>
      </c>
      <c r="O5" s="1271">
        <v>1456</v>
      </c>
      <c r="P5" s="1271">
        <v>9</v>
      </c>
      <c r="Q5" s="1271">
        <v>1764</v>
      </c>
      <c r="R5" s="1271">
        <v>124</v>
      </c>
      <c r="S5" s="1272">
        <f>15+16</f>
        <v>31</v>
      </c>
      <c r="T5" s="1543">
        <v>218</v>
      </c>
      <c r="U5" s="1271">
        <v>768</v>
      </c>
      <c r="V5" s="1271"/>
      <c r="W5" s="1271">
        <v>3635</v>
      </c>
      <c r="X5" s="1271">
        <v>4307</v>
      </c>
      <c r="Y5" s="1272">
        <v>115</v>
      </c>
      <c r="Z5" s="1543">
        <v>20</v>
      </c>
      <c r="AA5" s="1271">
        <v>548</v>
      </c>
      <c r="AB5" s="1271">
        <v>56</v>
      </c>
      <c r="AC5" s="1271">
        <v>241</v>
      </c>
      <c r="AD5" s="1271">
        <v>55</v>
      </c>
      <c r="AE5" s="1272"/>
      <c r="AF5" s="1543">
        <v>71</v>
      </c>
      <c r="AG5" s="1271">
        <v>63</v>
      </c>
      <c r="AH5" s="1271">
        <v>110</v>
      </c>
      <c r="AI5" s="1271">
        <v>135</v>
      </c>
      <c r="AJ5" s="1271">
        <v>94</v>
      </c>
      <c r="AK5" s="1272">
        <v>324</v>
      </c>
      <c r="AL5" s="1543">
        <v>36</v>
      </c>
      <c r="AM5" s="1271"/>
      <c r="AN5" s="1271">
        <v>161</v>
      </c>
      <c r="AO5" s="1271"/>
      <c r="AP5" s="1271">
        <v>227</v>
      </c>
      <c r="AQ5" s="1272"/>
      <c r="AR5" s="1543"/>
      <c r="AS5" s="1271"/>
      <c r="AT5" s="1271">
        <v>351</v>
      </c>
      <c r="AU5" s="1271">
        <v>64</v>
      </c>
      <c r="AV5" s="1271">
        <v>139</v>
      </c>
      <c r="AW5" s="1272"/>
      <c r="AX5" s="1543">
        <v>5</v>
      </c>
      <c r="AY5" s="1271">
        <v>200</v>
      </c>
      <c r="AZ5" s="1271">
        <v>1090</v>
      </c>
      <c r="BA5" s="1271">
        <v>640</v>
      </c>
      <c r="BB5" s="1271">
        <v>1313</v>
      </c>
      <c r="BC5" s="1272">
        <v>9</v>
      </c>
      <c r="BD5" s="1543">
        <v>47</v>
      </c>
      <c r="BE5" s="1271">
        <v>927</v>
      </c>
      <c r="BF5" s="1271">
        <v>244</v>
      </c>
      <c r="BG5" s="1271">
        <v>657</v>
      </c>
      <c r="BH5" s="1271">
        <v>0</v>
      </c>
      <c r="BI5" s="1272"/>
      <c r="BJ5" s="1543">
        <v>2406</v>
      </c>
      <c r="BK5" s="1271">
        <v>37479</v>
      </c>
      <c r="BL5" s="1271">
        <v>3247</v>
      </c>
      <c r="BM5" s="1271">
        <v>4702</v>
      </c>
      <c r="BN5" s="1271">
        <v>2389</v>
      </c>
      <c r="BO5" s="1272">
        <v>82027</v>
      </c>
      <c r="BP5" s="1543">
        <v>871</v>
      </c>
      <c r="BQ5" s="1271">
        <v>7143</v>
      </c>
      <c r="BR5" s="1271">
        <v>926</v>
      </c>
      <c r="BS5" s="1271">
        <v>7558</v>
      </c>
      <c r="BT5" s="1271">
        <v>7050</v>
      </c>
      <c r="BU5" s="1272">
        <v>328</v>
      </c>
      <c r="BV5" s="1610">
        <v>16</v>
      </c>
      <c r="BW5" s="1545">
        <v>225</v>
      </c>
      <c r="BX5" s="1545">
        <v>63</v>
      </c>
      <c r="BY5" s="1545"/>
      <c r="BZ5" s="1545">
        <v>116</v>
      </c>
      <c r="CA5" s="1546"/>
      <c r="CB5" s="1273">
        <v>113</v>
      </c>
      <c r="CC5" s="1271">
        <v>122</v>
      </c>
      <c r="CD5" s="1271">
        <v>318</v>
      </c>
      <c r="CE5" s="1271"/>
      <c r="CF5" s="1271">
        <v>16605</v>
      </c>
      <c r="CG5" s="1272">
        <v>38</v>
      </c>
      <c r="CH5" s="1273">
        <v>63</v>
      </c>
      <c r="CI5" s="1271">
        <v>543</v>
      </c>
      <c r="CJ5" s="1271">
        <v>199</v>
      </c>
      <c r="CK5" s="1271">
        <v>10</v>
      </c>
      <c r="CL5" s="1271">
        <v>838</v>
      </c>
      <c r="CM5" s="1272">
        <v>74</v>
      </c>
      <c r="CN5" s="1273">
        <v>176</v>
      </c>
      <c r="CO5" s="1271">
        <v>294</v>
      </c>
      <c r="CP5" s="1271"/>
      <c r="CQ5" s="1271"/>
      <c r="CR5" s="1271"/>
      <c r="CS5" s="1272">
        <v>4</v>
      </c>
      <c r="CT5" s="1273">
        <v>84</v>
      </c>
      <c r="CU5" s="1271">
        <v>1501</v>
      </c>
      <c r="CV5" s="1271">
        <v>4708</v>
      </c>
      <c r="CW5" s="1271">
        <v>26</v>
      </c>
      <c r="CX5" s="1271">
        <v>3553</v>
      </c>
      <c r="CY5" s="1272">
        <v>14</v>
      </c>
      <c r="CZ5" s="1273">
        <v>120</v>
      </c>
      <c r="DA5" s="1271">
        <v>1074</v>
      </c>
      <c r="DB5" s="1271">
        <v>1942</v>
      </c>
      <c r="DC5" s="1271">
        <v>108</v>
      </c>
      <c r="DD5" s="1271">
        <v>22369</v>
      </c>
      <c r="DE5" s="1272">
        <v>53</v>
      </c>
      <c r="DF5" s="1611"/>
      <c r="DG5" s="1271"/>
      <c r="DH5" s="1271"/>
      <c r="DI5" s="1271"/>
      <c r="DJ5" s="1271"/>
      <c r="DK5" s="1272"/>
      <c r="DL5" s="1612">
        <v>450</v>
      </c>
      <c r="DM5" s="1547">
        <v>2634</v>
      </c>
      <c r="DN5" s="1547">
        <v>16</v>
      </c>
      <c r="DO5" s="1547">
        <v>8095</v>
      </c>
      <c r="DP5" s="1547">
        <v>1524</v>
      </c>
      <c r="DQ5" s="1548">
        <v>15548</v>
      </c>
      <c r="DR5" s="1613">
        <v>117</v>
      </c>
      <c r="DS5" s="1549">
        <v>562</v>
      </c>
      <c r="DT5" s="1549">
        <v>259</v>
      </c>
      <c r="DU5" s="1549">
        <v>59</v>
      </c>
      <c r="DV5" s="1549">
        <v>663</v>
      </c>
      <c r="DW5" s="1544"/>
      <c r="DX5" s="1614">
        <v>102</v>
      </c>
      <c r="DY5" s="1550">
        <v>1329</v>
      </c>
      <c r="DZ5" s="1550">
        <v>210</v>
      </c>
      <c r="EA5" s="1550">
        <v>51</v>
      </c>
      <c r="EB5" s="1550">
        <v>10460</v>
      </c>
      <c r="EC5" s="1615">
        <v>24</v>
      </c>
      <c r="ED5" s="1273"/>
      <c r="EE5" s="1271">
        <v>1791</v>
      </c>
      <c r="EF5" s="1271">
        <v>1137</v>
      </c>
      <c r="EG5" s="1271">
        <v>15</v>
      </c>
      <c r="EH5" s="1271">
        <v>246</v>
      </c>
      <c r="EI5" s="1552">
        <v>80</v>
      </c>
      <c r="EJ5" s="1614">
        <v>929</v>
      </c>
      <c r="EK5" s="1550">
        <v>433349</v>
      </c>
      <c r="EL5" s="1550">
        <v>40</v>
      </c>
      <c r="EM5" s="1550">
        <v>105184</v>
      </c>
      <c r="EN5" s="1550"/>
      <c r="EO5" s="1551"/>
    </row>
    <row r="6" spans="1:145" ht="16.5">
      <c r="A6" s="1012" t="s">
        <v>133</v>
      </c>
      <c r="B6" s="1008"/>
      <c r="C6" s="285"/>
      <c r="D6" s="285"/>
      <c r="E6" s="285"/>
      <c r="F6" s="285"/>
      <c r="G6" s="286"/>
      <c r="H6" s="1256"/>
      <c r="I6" s="1257"/>
      <c r="J6" s="1257"/>
      <c r="K6" s="1257"/>
      <c r="L6" s="1257"/>
      <c r="M6" s="1258"/>
      <c r="N6" s="1260"/>
      <c r="O6" s="1257"/>
      <c r="P6" s="1257"/>
      <c r="Q6" s="1257"/>
      <c r="R6" s="1257"/>
      <c r="S6" s="1258"/>
      <c r="T6" s="1256"/>
      <c r="U6" s="1257"/>
      <c r="V6" s="1257"/>
      <c r="W6" s="1257"/>
      <c r="X6" s="1257"/>
      <c r="Y6" s="1258"/>
      <c r="Z6" s="1256"/>
      <c r="AA6" s="1257"/>
      <c r="AB6" s="1257"/>
      <c r="AC6" s="1257"/>
      <c r="AD6" s="1257"/>
      <c r="AE6" s="1258"/>
      <c r="AF6" s="1256"/>
      <c r="AG6" s="1257"/>
      <c r="AH6" s="1257"/>
      <c r="AI6" s="1257"/>
      <c r="AJ6" s="1257"/>
      <c r="AK6" s="1258"/>
      <c r="AL6" s="1256"/>
      <c r="AM6" s="1257"/>
      <c r="AN6" s="1257"/>
      <c r="AO6" s="1257"/>
      <c r="AP6" s="1257"/>
      <c r="AQ6" s="1258"/>
      <c r="AR6" s="1256"/>
      <c r="AS6" s="1257"/>
      <c r="AT6" s="1257"/>
      <c r="AU6" s="1257"/>
      <c r="AV6" s="1257"/>
      <c r="AW6" s="1258"/>
      <c r="AX6" s="1256"/>
      <c r="AY6" s="1257">
        <v>51</v>
      </c>
      <c r="AZ6" s="1257">
        <v>572</v>
      </c>
      <c r="BA6" s="1257">
        <v>319</v>
      </c>
      <c r="BB6" s="1257">
        <v>1134</v>
      </c>
      <c r="BC6" s="1258"/>
      <c r="BD6" s="1256"/>
      <c r="BE6" s="1257"/>
      <c r="BF6" s="1257"/>
      <c r="BG6" s="1257"/>
      <c r="BH6" s="1257"/>
      <c r="BI6" s="1258"/>
      <c r="BJ6" s="1256"/>
      <c r="BK6" s="1257"/>
      <c r="BL6" s="1257"/>
      <c r="BM6" s="1257"/>
      <c r="BN6" s="1257"/>
      <c r="BO6" s="1258"/>
      <c r="BP6" s="1256"/>
      <c r="BQ6" s="1257"/>
      <c r="BR6" s="1257"/>
      <c r="BS6" s="1257"/>
      <c r="BT6" s="1257"/>
      <c r="BU6" s="1258"/>
      <c r="BV6" s="1422"/>
      <c r="BW6" s="1262"/>
      <c r="BX6" s="1262"/>
      <c r="BY6" s="1262"/>
      <c r="BZ6" s="1262"/>
      <c r="CA6" s="1263"/>
      <c r="CB6" s="1260"/>
      <c r="CC6" s="1257"/>
      <c r="CD6" s="1257"/>
      <c r="CE6" s="1257"/>
      <c r="CF6" s="1257"/>
      <c r="CG6" s="1258"/>
      <c r="CH6" s="1260"/>
      <c r="CI6" s="1257">
        <v>12179</v>
      </c>
      <c r="CJ6" s="1257"/>
      <c r="CK6" s="1257"/>
      <c r="CL6" s="1257"/>
      <c r="CM6" s="1258"/>
      <c r="CN6" s="1260"/>
      <c r="CO6" s="1257"/>
      <c r="CP6" s="1257"/>
      <c r="CQ6" s="1257"/>
      <c r="CR6" s="1257"/>
      <c r="CS6" s="1258"/>
      <c r="CT6" s="1260"/>
      <c r="CU6" s="1257"/>
      <c r="CV6" s="1257"/>
      <c r="CW6" s="1257"/>
      <c r="CX6" s="1257"/>
      <c r="CY6" s="1258"/>
      <c r="CZ6" s="1260"/>
      <c r="DA6" s="1257"/>
      <c r="DB6" s="1257"/>
      <c r="DC6" s="1257"/>
      <c r="DD6" s="1257"/>
      <c r="DE6" s="1258"/>
      <c r="DF6" s="1423"/>
      <c r="DG6" s="1257"/>
      <c r="DH6" s="1257"/>
      <c r="DI6" s="1257"/>
      <c r="DJ6" s="1257"/>
      <c r="DK6" s="1258"/>
      <c r="DL6" s="336"/>
      <c r="DM6" s="337"/>
      <c r="DN6" s="337"/>
      <c r="DO6" s="337"/>
      <c r="DP6" s="337"/>
      <c r="DQ6" s="331"/>
      <c r="DR6" s="1424"/>
      <c r="DS6" s="1267"/>
      <c r="DT6" s="1267"/>
      <c r="DU6" s="1267"/>
      <c r="DV6" s="1267"/>
      <c r="DW6" s="1259"/>
      <c r="DX6" s="1425"/>
      <c r="DY6" s="1269"/>
      <c r="DZ6" s="1269"/>
      <c r="EA6" s="1269"/>
      <c r="EB6" s="1269"/>
      <c r="EC6" s="1426"/>
      <c r="ED6" s="1260"/>
      <c r="EE6" s="1257"/>
      <c r="EF6" s="1257"/>
      <c r="EG6" s="1257"/>
      <c r="EH6" s="1257"/>
      <c r="EI6" s="1427"/>
      <c r="EJ6" s="1425"/>
      <c r="EK6" s="1269"/>
      <c r="EL6" s="1269"/>
      <c r="EM6" s="1269"/>
      <c r="EN6" s="1269"/>
      <c r="EO6" s="1270"/>
    </row>
    <row r="7" spans="1:145" s="1534" customFormat="1" ht="18">
      <c r="A7" s="1011" t="s">
        <v>134</v>
      </c>
      <c r="B7" s="1009">
        <v>1372</v>
      </c>
      <c r="C7" s="302">
        <v>7282</v>
      </c>
      <c r="D7" s="302">
        <v>3942</v>
      </c>
      <c r="E7" s="302">
        <v>2616</v>
      </c>
      <c r="F7" s="302">
        <v>17831</v>
      </c>
      <c r="G7" s="303">
        <v>12556</v>
      </c>
      <c r="H7" s="304">
        <v>145</v>
      </c>
      <c r="I7" s="1271">
        <v>234</v>
      </c>
      <c r="J7" s="305">
        <v>4215</v>
      </c>
      <c r="K7" s="305">
        <v>0</v>
      </c>
      <c r="L7" s="1271">
        <v>3090</v>
      </c>
      <c r="M7" s="1272">
        <v>450</v>
      </c>
      <c r="N7" s="309">
        <v>266</v>
      </c>
      <c r="O7" s="305">
        <v>3267</v>
      </c>
      <c r="P7" s="305">
        <v>3953</v>
      </c>
      <c r="Q7" s="305">
        <v>1809</v>
      </c>
      <c r="R7" s="305">
        <v>4493</v>
      </c>
      <c r="S7" s="306">
        <f>877+1747+2060+53</f>
        <v>4737</v>
      </c>
      <c r="T7" s="304">
        <v>3270</v>
      </c>
      <c r="U7" s="305">
        <v>42926</v>
      </c>
      <c r="V7" s="305">
        <v>38335</v>
      </c>
      <c r="W7" s="305">
        <v>6917</v>
      </c>
      <c r="X7" s="305">
        <v>28221</v>
      </c>
      <c r="Y7" s="306">
        <v>6179</v>
      </c>
      <c r="Z7" s="304">
        <v>296</v>
      </c>
      <c r="AA7" s="305">
        <v>526</v>
      </c>
      <c r="AB7" s="305">
        <v>19499</v>
      </c>
      <c r="AC7" s="305">
        <v>89</v>
      </c>
      <c r="AD7" s="305">
        <v>2620</v>
      </c>
      <c r="AE7" s="306"/>
      <c r="AF7" s="304">
        <v>295</v>
      </c>
      <c r="AG7" s="305">
        <v>267</v>
      </c>
      <c r="AH7" s="305">
        <v>3325</v>
      </c>
      <c r="AI7" s="305">
        <v>361</v>
      </c>
      <c r="AJ7" s="305">
        <v>2527</v>
      </c>
      <c r="AK7" s="306">
        <v>6250</v>
      </c>
      <c r="AL7" s="304">
        <v>79366</v>
      </c>
      <c r="AM7" s="305">
        <v>27</v>
      </c>
      <c r="AN7" s="305">
        <v>5371</v>
      </c>
      <c r="AO7" s="305"/>
      <c r="AP7" s="305">
        <v>35352</v>
      </c>
      <c r="AQ7" s="306"/>
      <c r="AR7" s="304">
        <v>239</v>
      </c>
      <c r="AS7" s="305"/>
      <c r="AT7" s="305">
        <v>1298</v>
      </c>
      <c r="AU7" s="305">
        <v>1997</v>
      </c>
      <c r="AV7" s="305">
        <v>1821</v>
      </c>
      <c r="AW7" s="306">
        <v>173</v>
      </c>
      <c r="AX7" s="304">
        <v>3330</v>
      </c>
      <c r="AY7" s="305">
        <v>21699</v>
      </c>
      <c r="AZ7" s="305">
        <v>54359</v>
      </c>
      <c r="BA7" s="305">
        <v>3634</v>
      </c>
      <c r="BB7" s="305">
        <v>37339</v>
      </c>
      <c r="BC7" s="306">
        <v>3133</v>
      </c>
      <c r="BD7" s="304">
        <v>364</v>
      </c>
      <c r="BE7" s="305">
        <v>3141</v>
      </c>
      <c r="BF7" s="305">
        <v>3183</v>
      </c>
      <c r="BG7" s="305">
        <v>616</v>
      </c>
      <c r="BH7" s="305">
        <v>3638</v>
      </c>
      <c r="BI7" s="306"/>
      <c r="BJ7" s="304">
        <v>65702</v>
      </c>
      <c r="BK7" s="305">
        <v>64430</v>
      </c>
      <c r="BL7" s="305">
        <v>3839</v>
      </c>
      <c r="BM7" s="1271">
        <v>65958</v>
      </c>
      <c r="BN7" s="305">
        <v>106384</v>
      </c>
      <c r="BO7" s="306">
        <v>53360</v>
      </c>
      <c r="BP7" s="304">
        <v>13886</v>
      </c>
      <c r="BQ7" s="305">
        <v>36960</v>
      </c>
      <c r="BR7" s="305">
        <v>23436</v>
      </c>
      <c r="BS7" s="305">
        <v>37030</v>
      </c>
      <c r="BT7" s="305">
        <v>88040</v>
      </c>
      <c r="BU7" s="306">
        <f>5446+39</f>
        <v>5485</v>
      </c>
      <c r="BV7" s="1532">
        <v>407</v>
      </c>
      <c r="BW7" s="1533">
        <v>4253</v>
      </c>
      <c r="BX7" s="1533">
        <v>15867</v>
      </c>
      <c r="BY7" s="1533"/>
      <c r="BZ7" s="1533">
        <v>2904</v>
      </c>
      <c r="CA7" s="1541">
        <v>1</v>
      </c>
      <c r="CB7" s="309">
        <v>3331</v>
      </c>
      <c r="CC7" s="305">
        <v>585</v>
      </c>
      <c r="CD7" s="305">
        <v>3430</v>
      </c>
      <c r="CE7" s="305">
        <v>14</v>
      </c>
      <c r="CF7" s="305">
        <v>15370</v>
      </c>
      <c r="CG7" s="306">
        <v>95</v>
      </c>
      <c r="CH7" s="309">
        <v>764</v>
      </c>
      <c r="CI7" s="305">
        <v>11376</v>
      </c>
      <c r="CJ7" s="305">
        <v>6537</v>
      </c>
      <c r="CK7" s="305">
        <v>1198</v>
      </c>
      <c r="CL7" s="305">
        <v>20439</v>
      </c>
      <c r="CM7" s="306">
        <v>702</v>
      </c>
      <c r="CN7" s="309">
        <v>7515</v>
      </c>
      <c r="CO7" s="305">
        <v>26263</v>
      </c>
      <c r="CP7" s="305">
        <v>9750</v>
      </c>
      <c r="CQ7" s="305">
        <v>736</v>
      </c>
      <c r="CR7" s="305">
        <v>115256</v>
      </c>
      <c r="CS7" s="306">
        <v>87</v>
      </c>
      <c r="CT7" s="309">
        <v>1631</v>
      </c>
      <c r="CU7" s="305">
        <v>3454</v>
      </c>
      <c r="CV7" s="305">
        <v>8751</v>
      </c>
      <c r="CW7" s="305">
        <v>23</v>
      </c>
      <c r="CX7" s="305">
        <v>15942</v>
      </c>
      <c r="CY7" s="306">
        <v>48</v>
      </c>
      <c r="CZ7" s="309">
        <v>2205</v>
      </c>
      <c r="DA7" s="305">
        <v>24183</v>
      </c>
      <c r="DB7" s="305">
        <v>110881</v>
      </c>
      <c r="DC7" s="305">
        <v>1040</v>
      </c>
      <c r="DD7" s="305">
        <v>177411</v>
      </c>
      <c r="DE7" s="306">
        <v>181</v>
      </c>
      <c r="DF7" s="1616"/>
      <c r="DG7" s="305"/>
      <c r="DH7" s="305"/>
      <c r="DI7" s="305"/>
      <c r="DJ7" s="305"/>
      <c r="DK7" s="306"/>
      <c r="DL7" s="1617">
        <v>13288</v>
      </c>
      <c r="DM7" s="1547">
        <v>215901</v>
      </c>
      <c r="DN7" s="1557">
        <v>67871</v>
      </c>
      <c r="DO7" s="1557">
        <v>107011</v>
      </c>
      <c r="DP7" s="1557">
        <v>62907</v>
      </c>
      <c r="DQ7" s="1558">
        <v>53264</v>
      </c>
      <c r="DR7" s="1618">
        <v>778</v>
      </c>
      <c r="DS7" s="859">
        <v>3215</v>
      </c>
      <c r="DT7" s="859">
        <v>2843</v>
      </c>
      <c r="DU7" s="859">
        <v>144</v>
      </c>
      <c r="DV7" s="859">
        <v>6932</v>
      </c>
      <c r="DW7" s="1528"/>
      <c r="DX7" s="1529">
        <v>1815</v>
      </c>
      <c r="DY7" s="1530">
        <v>2665</v>
      </c>
      <c r="DZ7" s="1530">
        <v>4340</v>
      </c>
      <c r="EA7" s="1550">
        <v>2670</v>
      </c>
      <c r="EB7" s="1550">
        <v>11239</v>
      </c>
      <c r="EC7" s="1619">
        <v>1823</v>
      </c>
      <c r="ED7" s="309">
        <v>2700</v>
      </c>
      <c r="EE7" s="305">
        <v>17776</v>
      </c>
      <c r="EF7" s="305">
        <v>329630</v>
      </c>
      <c r="EG7" s="305">
        <v>2077</v>
      </c>
      <c r="EH7" s="305">
        <v>47277</v>
      </c>
      <c r="EI7" s="753">
        <v>199559</v>
      </c>
      <c r="EJ7" s="1529">
        <v>1008999</v>
      </c>
      <c r="EK7" s="1269">
        <v>12267561</v>
      </c>
      <c r="EL7" s="1269">
        <v>14155551</v>
      </c>
      <c r="EM7" s="1269">
        <v>6072583</v>
      </c>
      <c r="EN7" s="1530">
        <v>5256453</v>
      </c>
      <c r="EO7" s="1531">
        <v>27852</v>
      </c>
    </row>
    <row r="8" spans="1:145" s="1534" customFormat="1" ht="18">
      <c r="A8" s="1011" t="s">
        <v>462</v>
      </c>
      <c r="B8" s="1009">
        <v>145</v>
      </c>
      <c r="C8" s="302">
        <v>6992</v>
      </c>
      <c r="D8" s="302">
        <v>3705</v>
      </c>
      <c r="E8" s="302">
        <v>2695</v>
      </c>
      <c r="F8" s="302">
        <v>17943</v>
      </c>
      <c r="G8" s="303">
        <v>12395</v>
      </c>
      <c r="H8" s="304">
        <v>180</v>
      </c>
      <c r="I8" s="305">
        <v>228</v>
      </c>
      <c r="J8" s="305">
        <v>3779</v>
      </c>
      <c r="K8" s="305">
        <v>0</v>
      </c>
      <c r="L8" s="305">
        <v>2810</v>
      </c>
      <c r="M8" s="306">
        <v>451</v>
      </c>
      <c r="N8" s="309">
        <v>275</v>
      </c>
      <c r="O8" s="305">
        <v>2453</v>
      </c>
      <c r="P8" s="305">
        <v>3954</v>
      </c>
      <c r="Q8" s="305">
        <v>1594</v>
      </c>
      <c r="R8" s="305">
        <v>4577</v>
      </c>
      <c r="S8" s="306">
        <f>877+1747+2060+49</f>
        <v>4733</v>
      </c>
      <c r="T8" s="304">
        <v>3395</v>
      </c>
      <c r="U8" s="305">
        <v>43273</v>
      </c>
      <c r="V8" s="305">
        <v>38335</v>
      </c>
      <c r="W8" s="305">
        <v>4578</v>
      </c>
      <c r="X8" s="305">
        <v>32113</v>
      </c>
      <c r="Y8" s="306">
        <v>6127</v>
      </c>
      <c r="Z8" s="304">
        <v>292</v>
      </c>
      <c r="AA8" s="305">
        <v>582</v>
      </c>
      <c r="AB8" s="305">
        <v>19270</v>
      </c>
      <c r="AC8" s="305">
        <v>74</v>
      </c>
      <c r="AD8" s="305">
        <v>2442</v>
      </c>
      <c r="AE8" s="306"/>
      <c r="AF8" s="304">
        <v>352</v>
      </c>
      <c r="AG8" s="305">
        <v>140</v>
      </c>
      <c r="AH8" s="305">
        <v>3435</v>
      </c>
      <c r="AI8" s="305">
        <v>322</v>
      </c>
      <c r="AJ8" s="305">
        <v>2381</v>
      </c>
      <c r="AK8" s="306">
        <v>5766</v>
      </c>
      <c r="AL8" s="304">
        <v>78890</v>
      </c>
      <c r="AM8" s="305">
        <v>18</v>
      </c>
      <c r="AN8" s="305">
        <v>5200</v>
      </c>
      <c r="AO8" s="305"/>
      <c r="AP8" s="305">
        <v>35035</v>
      </c>
      <c r="AQ8" s="306"/>
      <c r="AR8" s="304">
        <v>225</v>
      </c>
      <c r="AS8" s="305"/>
      <c r="AT8" s="305">
        <v>1398</v>
      </c>
      <c r="AU8" s="305">
        <v>1864</v>
      </c>
      <c r="AV8" s="305">
        <v>1711</v>
      </c>
      <c r="AW8" s="306">
        <v>168</v>
      </c>
      <c r="AX8" s="304">
        <v>3236</v>
      </c>
      <c r="AY8" s="305">
        <v>21544</v>
      </c>
      <c r="AZ8" s="305">
        <v>54410</v>
      </c>
      <c r="BA8" s="305">
        <v>2774</v>
      </c>
      <c r="BB8" s="305">
        <v>34575</v>
      </c>
      <c r="BC8" s="306">
        <v>3106</v>
      </c>
      <c r="BD8" s="304">
        <v>388</v>
      </c>
      <c r="BE8" s="305">
        <v>2415</v>
      </c>
      <c r="BF8" s="305">
        <v>2616</v>
      </c>
      <c r="BG8" s="305">
        <v>1182</v>
      </c>
      <c r="BH8" s="305">
        <v>3638</v>
      </c>
      <c r="BI8" s="306"/>
      <c r="BJ8" s="304">
        <v>67287</v>
      </c>
      <c r="BK8" s="305">
        <v>61299</v>
      </c>
      <c r="BL8" s="305">
        <v>3876</v>
      </c>
      <c r="BM8" s="305">
        <v>64167</v>
      </c>
      <c r="BN8" s="305">
        <v>106194</v>
      </c>
      <c r="BO8" s="306">
        <v>60807</v>
      </c>
      <c r="BP8" s="304">
        <v>13519</v>
      </c>
      <c r="BQ8" s="305">
        <v>36490</v>
      </c>
      <c r="BR8" s="305">
        <v>23914</v>
      </c>
      <c r="BS8" s="305">
        <v>33068</v>
      </c>
      <c r="BT8" s="305">
        <v>90421</v>
      </c>
      <c r="BU8" s="306">
        <f>5035+39</f>
        <v>5074</v>
      </c>
      <c r="BV8" s="1532">
        <v>406</v>
      </c>
      <c r="BW8" s="1533">
        <v>3716</v>
      </c>
      <c r="BX8" s="1533">
        <v>15924</v>
      </c>
      <c r="BY8" s="1533"/>
      <c r="BZ8" s="1533">
        <v>2715</v>
      </c>
      <c r="CA8" s="1541">
        <v>1</v>
      </c>
      <c r="CB8" s="309">
        <v>3373</v>
      </c>
      <c r="CC8" s="305">
        <v>521</v>
      </c>
      <c r="CD8" s="305">
        <v>3246</v>
      </c>
      <c r="CE8" s="305">
        <v>14</v>
      </c>
      <c r="CF8" s="305">
        <v>15313</v>
      </c>
      <c r="CG8" s="306">
        <v>123</v>
      </c>
      <c r="CH8" s="309">
        <v>788</v>
      </c>
      <c r="CI8" s="305"/>
      <c r="CJ8" s="305">
        <v>6318</v>
      </c>
      <c r="CK8" s="305">
        <v>1174</v>
      </c>
      <c r="CL8" s="305">
        <v>20428</v>
      </c>
      <c r="CM8" s="306">
        <v>502</v>
      </c>
      <c r="CN8" s="309">
        <v>7669</v>
      </c>
      <c r="CO8" s="305">
        <v>26406</v>
      </c>
      <c r="CP8" s="305">
        <v>9750</v>
      </c>
      <c r="CQ8" s="305">
        <v>736</v>
      </c>
      <c r="CR8" s="305">
        <v>115256</v>
      </c>
      <c r="CS8" s="306">
        <v>64</v>
      </c>
      <c r="CT8" s="309">
        <v>1663</v>
      </c>
      <c r="CU8" s="305">
        <v>2824</v>
      </c>
      <c r="CV8" s="305">
        <v>7747</v>
      </c>
      <c r="CW8" s="305">
        <v>17</v>
      </c>
      <c r="CX8" s="305">
        <v>15612</v>
      </c>
      <c r="CY8" s="306">
        <v>42</v>
      </c>
      <c r="CZ8" s="309">
        <v>2225</v>
      </c>
      <c r="DA8" s="305">
        <v>22525</v>
      </c>
      <c r="DB8" s="305">
        <v>74516</v>
      </c>
      <c r="DC8" s="305">
        <v>875</v>
      </c>
      <c r="DD8" s="305">
        <v>169610</v>
      </c>
      <c r="DE8" s="306">
        <v>110</v>
      </c>
      <c r="DF8" s="1616"/>
      <c r="DG8" s="305"/>
      <c r="DH8" s="305"/>
      <c r="DI8" s="305"/>
      <c r="DJ8" s="305"/>
      <c r="DK8" s="306"/>
      <c r="DL8" s="1617">
        <v>13311</v>
      </c>
      <c r="DM8" s="1557">
        <v>217986</v>
      </c>
      <c r="DN8" s="1557">
        <v>67836</v>
      </c>
      <c r="DO8" s="1557">
        <v>112710</v>
      </c>
      <c r="DP8" s="1557">
        <v>63349</v>
      </c>
      <c r="DQ8" s="1558">
        <v>49225</v>
      </c>
      <c r="DR8" s="1618">
        <v>828</v>
      </c>
      <c r="DS8" s="859">
        <v>1463</v>
      </c>
      <c r="DT8" s="859">
        <v>3035</v>
      </c>
      <c r="DU8" s="859">
        <v>167</v>
      </c>
      <c r="DV8" s="859">
        <v>4198</v>
      </c>
      <c r="DW8" s="1528"/>
      <c r="DX8" s="1529">
        <v>1804</v>
      </c>
      <c r="DY8" s="1530">
        <v>3720</v>
      </c>
      <c r="DZ8" s="1530">
        <v>4474</v>
      </c>
      <c r="EA8" s="1530">
        <v>2673</v>
      </c>
      <c r="EB8" s="1530">
        <v>19120</v>
      </c>
      <c r="EC8" s="1619">
        <v>1799</v>
      </c>
      <c r="ED8" s="309">
        <v>2675</v>
      </c>
      <c r="EE8" s="305">
        <v>18632</v>
      </c>
      <c r="EF8" s="305">
        <v>330702</v>
      </c>
      <c r="EG8" s="305">
        <v>2085</v>
      </c>
      <c r="EH8" s="305">
        <v>47353</v>
      </c>
      <c r="EI8" s="753">
        <v>199614</v>
      </c>
      <c r="EJ8" s="1529">
        <v>992477</v>
      </c>
      <c r="EK8" s="1530">
        <v>11118441</v>
      </c>
      <c r="EL8" s="1530">
        <v>13843627</v>
      </c>
      <c r="EM8" s="1530">
        <v>6063792</v>
      </c>
      <c r="EN8" s="1530">
        <v>5256453</v>
      </c>
      <c r="EO8" s="1531">
        <v>27852</v>
      </c>
    </row>
    <row r="9" spans="1:145" s="1534" customFormat="1" ht="18">
      <c r="A9" s="1011" t="s">
        <v>135</v>
      </c>
      <c r="B9" s="1009">
        <v>41</v>
      </c>
      <c r="C9" s="302"/>
      <c r="D9" s="302"/>
      <c r="E9" s="302"/>
      <c r="F9" s="302"/>
      <c r="G9" s="303"/>
      <c r="H9" s="304">
        <v>3</v>
      </c>
      <c r="I9" s="305"/>
      <c r="J9" s="305">
        <v>4</v>
      </c>
      <c r="K9" s="305">
        <v>0</v>
      </c>
      <c r="L9" s="305"/>
      <c r="M9" s="306">
        <v>7</v>
      </c>
      <c r="N9" s="309">
        <v>7</v>
      </c>
      <c r="O9" s="305"/>
      <c r="P9" s="305"/>
      <c r="Q9" s="305"/>
      <c r="R9" s="305"/>
      <c r="S9" s="306"/>
      <c r="T9" s="304">
        <v>84</v>
      </c>
      <c r="U9" s="305"/>
      <c r="V9" s="305"/>
      <c r="W9" s="305"/>
      <c r="X9" s="305"/>
      <c r="Y9" s="306">
        <v>122</v>
      </c>
      <c r="Z9" s="304">
        <v>17</v>
      </c>
      <c r="AA9" s="305"/>
      <c r="AB9" s="305"/>
      <c r="AC9" s="305"/>
      <c r="AD9" s="305"/>
      <c r="AE9" s="306"/>
      <c r="AF9" s="304">
        <v>13</v>
      </c>
      <c r="AG9" s="305"/>
      <c r="AH9" s="305"/>
      <c r="AI9" s="305"/>
      <c r="AJ9" s="305"/>
      <c r="AK9" s="306"/>
      <c r="AL9" s="304">
        <v>250</v>
      </c>
      <c r="AM9" s="305"/>
      <c r="AN9" s="305"/>
      <c r="AO9" s="305"/>
      <c r="AP9" s="305"/>
      <c r="AQ9" s="306"/>
      <c r="AR9" s="304">
        <v>14</v>
      </c>
      <c r="AS9" s="305"/>
      <c r="AT9" s="305"/>
      <c r="AU9" s="305"/>
      <c r="AV9" s="305"/>
      <c r="AW9" s="306">
        <v>1</v>
      </c>
      <c r="AX9" s="304">
        <v>99</v>
      </c>
      <c r="AY9" s="305"/>
      <c r="AZ9" s="305"/>
      <c r="BA9" s="305"/>
      <c r="BB9" s="305"/>
      <c r="BC9" s="306">
        <v>13</v>
      </c>
      <c r="BD9" s="304">
        <v>15</v>
      </c>
      <c r="BE9" s="305"/>
      <c r="BF9" s="305"/>
      <c r="BG9" s="305"/>
      <c r="BH9" s="305"/>
      <c r="BI9" s="306"/>
      <c r="BJ9" s="304">
        <v>250</v>
      </c>
      <c r="BK9" s="305"/>
      <c r="BL9" s="305"/>
      <c r="BM9" s="305"/>
      <c r="BN9" s="305"/>
      <c r="BO9" s="306">
        <v>8</v>
      </c>
      <c r="BP9" s="304">
        <v>12</v>
      </c>
      <c r="BQ9" s="305"/>
      <c r="BR9" s="305"/>
      <c r="BS9" s="305"/>
      <c r="BT9" s="305"/>
      <c r="BU9" s="306">
        <v>11</v>
      </c>
      <c r="BV9" s="1532">
        <v>9</v>
      </c>
      <c r="BW9" s="1533"/>
      <c r="BX9" s="1533"/>
      <c r="BY9" s="1533"/>
      <c r="BZ9" s="1533">
        <v>191</v>
      </c>
      <c r="CA9" s="1541"/>
      <c r="CB9" s="309">
        <v>61</v>
      </c>
      <c r="CC9" s="305"/>
      <c r="CD9" s="305"/>
      <c r="CE9" s="305"/>
      <c r="CF9" s="305"/>
      <c r="CG9" s="306"/>
      <c r="CH9" s="1430">
        <v>27</v>
      </c>
      <c r="CI9" s="307"/>
      <c r="CJ9" s="307"/>
      <c r="CK9" s="307"/>
      <c r="CL9" s="307"/>
      <c r="CM9" s="308"/>
      <c r="CN9" s="309">
        <v>19</v>
      </c>
      <c r="CO9" s="305"/>
      <c r="CP9" s="305"/>
      <c r="CQ9" s="305"/>
      <c r="CR9" s="305"/>
      <c r="CS9" s="306"/>
      <c r="CT9" s="309">
        <v>52</v>
      </c>
      <c r="CU9" s="305"/>
      <c r="CV9" s="305"/>
      <c r="CW9" s="305"/>
      <c r="CX9" s="305"/>
      <c r="CY9" s="306">
        <v>5</v>
      </c>
      <c r="CZ9" s="309">
        <v>96</v>
      </c>
      <c r="DA9" s="305"/>
      <c r="DB9" s="305"/>
      <c r="DC9" s="305"/>
      <c r="DD9" s="305"/>
      <c r="DE9" s="306">
        <v>105</v>
      </c>
      <c r="DF9" s="1616"/>
      <c r="DG9" s="305"/>
      <c r="DH9" s="305"/>
      <c r="DI9" s="305"/>
      <c r="DJ9" s="305"/>
      <c r="DK9" s="306"/>
      <c r="DL9" s="1617">
        <v>385</v>
      </c>
      <c r="DM9" s="1557"/>
      <c r="DN9" s="1557"/>
      <c r="DO9" s="1557"/>
      <c r="DP9" s="1557"/>
      <c r="DQ9" s="1558"/>
      <c r="DR9" s="1618">
        <v>20</v>
      </c>
      <c r="DS9" s="859"/>
      <c r="DT9" s="859"/>
      <c r="DU9" s="859"/>
      <c r="DV9" s="859"/>
      <c r="DW9" s="1528"/>
      <c r="DX9" s="1529">
        <v>4</v>
      </c>
      <c r="DY9" s="1530"/>
      <c r="DZ9" s="1530"/>
      <c r="EA9" s="1530"/>
      <c r="EB9" s="1530"/>
      <c r="EC9" s="1619">
        <v>20</v>
      </c>
      <c r="ED9" s="309">
        <v>25</v>
      </c>
      <c r="EE9" s="305"/>
      <c r="EF9" s="305"/>
      <c r="EG9" s="305"/>
      <c r="EH9" s="305"/>
      <c r="EI9" s="753"/>
      <c r="EJ9" s="309">
        <v>6682</v>
      </c>
      <c r="EK9" s="305"/>
      <c r="EL9" s="305"/>
      <c r="EM9" s="305">
        <v>1606</v>
      </c>
      <c r="EN9" s="305"/>
      <c r="EO9" s="306"/>
    </row>
    <row r="10" spans="1:145" ht="16.5">
      <c r="A10" s="1012" t="s">
        <v>136</v>
      </c>
      <c r="B10" s="1008">
        <v>40</v>
      </c>
      <c r="C10" s="285"/>
      <c r="D10" s="285"/>
      <c r="E10" s="285"/>
      <c r="F10" s="285"/>
      <c r="G10" s="286"/>
      <c r="H10" s="287">
        <v>3</v>
      </c>
      <c r="I10" s="288"/>
      <c r="J10" s="288">
        <v>4</v>
      </c>
      <c r="K10" s="288">
        <v>0</v>
      </c>
      <c r="L10" s="288"/>
      <c r="M10" s="289">
        <v>3</v>
      </c>
      <c r="N10" s="298">
        <v>7</v>
      </c>
      <c r="O10" s="288"/>
      <c r="P10" s="288"/>
      <c r="Q10" s="288"/>
      <c r="R10" s="288"/>
      <c r="S10" s="289"/>
      <c r="T10" s="287">
        <v>82</v>
      </c>
      <c r="U10" s="288"/>
      <c r="V10" s="288"/>
      <c r="W10" s="288"/>
      <c r="X10" s="288"/>
      <c r="Y10" s="289">
        <v>122</v>
      </c>
      <c r="Z10" s="287">
        <v>17</v>
      </c>
      <c r="AA10" s="288"/>
      <c r="AB10" s="288"/>
      <c r="AC10" s="288"/>
      <c r="AD10" s="288"/>
      <c r="AE10" s="289"/>
      <c r="AF10" s="287">
        <v>13</v>
      </c>
      <c r="AG10" s="288"/>
      <c r="AH10" s="288"/>
      <c r="AI10" s="288"/>
      <c r="AJ10" s="288"/>
      <c r="AK10" s="289"/>
      <c r="AL10" s="287">
        <v>248</v>
      </c>
      <c r="AM10" s="288"/>
      <c r="AN10" s="288"/>
      <c r="AO10" s="288"/>
      <c r="AP10" s="288"/>
      <c r="AQ10" s="289"/>
      <c r="AR10" s="287">
        <v>14</v>
      </c>
      <c r="AS10" s="288"/>
      <c r="AT10" s="288"/>
      <c r="AU10" s="288"/>
      <c r="AV10" s="288"/>
      <c r="AW10" s="289">
        <v>1</v>
      </c>
      <c r="AX10" s="287">
        <v>82</v>
      </c>
      <c r="AY10" s="288"/>
      <c r="AZ10" s="288"/>
      <c r="BA10" s="288"/>
      <c r="BB10" s="288"/>
      <c r="BC10" s="289">
        <v>12</v>
      </c>
      <c r="BD10" s="287">
        <v>15</v>
      </c>
      <c r="BE10" s="288"/>
      <c r="BF10" s="288"/>
      <c r="BG10" s="288"/>
      <c r="BH10" s="288"/>
      <c r="BI10" s="289"/>
      <c r="BJ10" s="287">
        <v>242</v>
      </c>
      <c r="BK10" s="288"/>
      <c r="BL10" s="288"/>
      <c r="BM10" s="288"/>
      <c r="BN10" s="288"/>
      <c r="BO10" s="289">
        <v>8</v>
      </c>
      <c r="BP10" s="287">
        <v>14</v>
      </c>
      <c r="BQ10" s="288"/>
      <c r="BR10" s="288"/>
      <c r="BS10" s="288"/>
      <c r="BT10" s="288"/>
      <c r="BU10" s="289">
        <v>11</v>
      </c>
      <c r="BV10" s="298">
        <v>9</v>
      </c>
      <c r="BW10" s="288"/>
      <c r="BX10" s="288"/>
      <c r="BY10" s="288"/>
      <c r="BZ10" s="288">
        <v>43</v>
      </c>
      <c r="CA10" s="289"/>
      <c r="CB10" s="298">
        <v>30</v>
      </c>
      <c r="CC10" s="288"/>
      <c r="CD10" s="288"/>
      <c r="CE10" s="288"/>
      <c r="CF10" s="288"/>
      <c r="CG10" s="289"/>
      <c r="CH10" s="298">
        <v>27</v>
      </c>
      <c r="CI10" s="288"/>
      <c r="CJ10" s="288"/>
      <c r="CK10" s="288"/>
      <c r="CL10" s="288"/>
      <c r="CM10" s="289"/>
      <c r="CN10" s="298">
        <v>17</v>
      </c>
      <c r="CO10" s="288"/>
      <c r="CP10" s="288"/>
      <c r="CQ10" s="288"/>
      <c r="CR10" s="288"/>
      <c r="CS10" s="289"/>
      <c r="CT10" s="298">
        <v>52</v>
      </c>
      <c r="CU10" s="288"/>
      <c r="CV10" s="288"/>
      <c r="CW10" s="288"/>
      <c r="CX10" s="288"/>
      <c r="CY10" s="289">
        <v>1</v>
      </c>
      <c r="CZ10" s="298">
        <v>96</v>
      </c>
      <c r="DA10" s="288"/>
      <c r="DB10" s="288"/>
      <c r="DC10" s="288"/>
      <c r="DD10" s="288"/>
      <c r="DE10" s="289">
        <v>14</v>
      </c>
      <c r="DF10" s="1428"/>
      <c r="DG10" s="288"/>
      <c r="DH10" s="288"/>
      <c r="DI10" s="288"/>
      <c r="DJ10" s="288"/>
      <c r="DK10" s="289"/>
      <c r="DL10" s="338">
        <v>361</v>
      </c>
      <c r="DM10" s="339"/>
      <c r="DN10" s="339"/>
      <c r="DO10" s="339"/>
      <c r="DP10" s="339"/>
      <c r="DQ10" s="334"/>
      <c r="DR10" s="1429">
        <v>20</v>
      </c>
      <c r="DS10" s="293"/>
      <c r="DT10" s="293"/>
      <c r="DU10" s="293"/>
      <c r="DV10" s="293"/>
      <c r="DW10" s="294"/>
      <c r="DX10" s="295">
        <v>4</v>
      </c>
      <c r="DY10" s="296"/>
      <c r="DZ10" s="296"/>
      <c r="EA10" s="296"/>
      <c r="EB10" s="296"/>
      <c r="EC10" s="1108">
        <v>20</v>
      </c>
      <c r="ED10" s="298">
        <v>24</v>
      </c>
      <c r="EE10" s="288"/>
      <c r="EF10" s="288"/>
      <c r="EG10" s="288"/>
      <c r="EH10" s="288"/>
      <c r="EI10" s="751"/>
      <c r="EJ10" s="295">
        <v>5613</v>
      </c>
      <c r="EK10" s="296"/>
      <c r="EL10" s="296"/>
      <c r="EM10" s="296">
        <v>1606</v>
      </c>
      <c r="EN10" s="288"/>
      <c r="EO10" s="289"/>
    </row>
    <row r="11" spans="1:145" ht="16.5">
      <c r="A11" s="1012" t="s">
        <v>137</v>
      </c>
      <c r="B11" s="1008">
        <v>1</v>
      </c>
      <c r="C11" s="285"/>
      <c r="D11" s="285"/>
      <c r="E11" s="285"/>
      <c r="F11" s="285"/>
      <c r="G11" s="286"/>
      <c r="H11" s="287"/>
      <c r="I11" s="288"/>
      <c r="J11" s="288"/>
      <c r="K11" s="288">
        <v>0</v>
      </c>
      <c r="L11" s="288"/>
      <c r="M11" s="289">
        <v>4</v>
      </c>
      <c r="N11" s="298"/>
      <c r="O11" s="288"/>
      <c r="P11" s="288"/>
      <c r="Q11" s="288"/>
      <c r="R11" s="288"/>
      <c r="S11" s="289"/>
      <c r="T11" s="287">
        <v>2</v>
      </c>
      <c r="U11" s="288"/>
      <c r="V11" s="288"/>
      <c r="W11" s="288"/>
      <c r="X11" s="288"/>
      <c r="Y11" s="289"/>
      <c r="Z11" s="287"/>
      <c r="AA11" s="288"/>
      <c r="AB11" s="288"/>
      <c r="AC11" s="288"/>
      <c r="AD11" s="288"/>
      <c r="AE11" s="289"/>
      <c r="AF11" s="287"/>
      <c r="AG11" s="288"/>
      <c r="AH11" s="288"/>
      <c r="AI11" s="288"/>
      <c r="AJ11" s="288"/>
      <c r="AK11" s="289"/>
      <c r="AL11" s="287">
        <v>2</v>
      </c>
      <c r="AM11" s="288"/>
      <c r="AN11" s="288"/>
      <c r="AO11" s="288"/>
      <c r="AP11" s="288"/>
      <c r="AQ11" s="289"/>
      <c r="AR11" s="287"/>
      <c r="AS11" s="288"/>
      <c r="AT11" s="288"/>
      <c r="AU11" s="288"/>
      <c r="AV11" s="288"/>
      <c r="AW11" s="289"/>
      <c r="AX11" s="287">
        <v>17</v>
      </c>
      <c r="AY11" s="288"/>
      <c r="AZ11" s="288"/>
      <c r="BA11" s="288"/>
      <c r="BB11" s="288"/>
      <c r="BC11" s="289">
        <v>1</v>
      </c>
      <c r="BD11" s="287"/>
      <c r="BE11" s="288"/>
      <c r="BF11" s="288"/>
      <c r="BG11" s="288"/>
      <c r="BH11" s="288"/>
      <c r="BI11" s="289"/>
      <c r="BJ11" s="287">
        <v>8</v>
      </c>
      <c r="BK11" s="288"/>
      <c r="BL11" s="288"/>
      <c r="BM11" s="288"/>
      <c r="BN11" s="288"/>
      <c r="BO11" s="289"/>
      <c r="BP11" s="287">
        <v>-2</v>
      </c>
      <c r="BQ11" s="288"/>
      <c r="BR11" s="288"/>
      <c r="BS11" s="288"/>
      <c r="BT11" s="288"/>
      <c r="BU11" s="289"/>
      <c r="BV11" s="298"/>
      <c r="BW11" s="288"/>
      <c r="BX11" s="288"/>
      <c r="BY11" s="288"/>
      <c r="BZ11" s="288">
        <v>148</v>
      </c>
      <c r="CA11" s="289"/>
      <c r="CB11" s="298">
        <v>31</v>
      </c>
      <c r="CC11" s="288"/>
      <c r="CD11" s="288"/>
      <c r="CE11" s="288"/>
      <c r="CF11" s="288"/>
      <c r="CG11" s="289"/>
      <c r="CH11" s="298"/>
      <c r="CI11" s="288"/>
      <c r="CJ11" s="288"/>
      <c r="CK11" s="288"/>
      <c r="CL11" s="288"/>
      <c r="CM11" s="289"/>
      <c r="CN11" s="298">
        <v>2</v>
      </c>
      <c r="CO11" s="288"/>
      <c r="CP11" s="288"/>
      <c r="CQ11" s="288"/>
      <c r="CR11" s="288"/>
      <c r="CS11" s="289"/>
      <c r="CT11" s="298"/>
      <c r="CU11" s="288"/>
      <c r="CV11" s="288"/>
      <c r="CW11" s="288"/>
      <c r="CX11" s="288"/>
      <c r="CY11" s="289">
        <v>4</v>
      </c>
      <c r="CZ11" s="298"/>
      <c r="DA11" s="288"/>
      <c r="DB11" s="288"/>
      <c r="DC11" s="288"/>
      <c r="DD11" s="288"/>
      <c r="DE11" s="289">
        <v>91</v>
      </c>
      <c r="DF11" s="1428"/>
      <c r="DG11" s="288"/>
      <c r="DH11" s="288"/>
      <c r="DI11" s="288"/>
      <c r="DJ11" s="288"/>
      <c r="DK11" s="289"/>
      <c r="DL11" s="338">
        <v>24</v>
      </c>
      <c r="DM11" s="339"/>
      <c r="DN11" s="339"/>
      <c r="DO11" s="339"/>
      <c r="DP11" s="339"/>
      <c r="DQ11" s="334"/>
      <c r="DR11" s="1429"/>
      <c r="DS11" s="293"/>
      <c r="DT11" s="293"/>
      <c r="DU11" s="293"/>
      <c r="DV11" s="293"/>
      <c r="DW11" s="294"/>
      <c r="DX11" s="295"/>
      <c r="DY11" s="296"/>
      <c r="DZ11" s="296"/>
      <c r="EA11" s="296"/>
      <c r="EB11" s="296"/>
      <c r="EC11" s="1108"/>
      <c r="ED11" s="298">
        <v>1</v>
      </c>
      <c r="EE11" s="288"/>
      <c r="EF11" s="288"/>
      <c r="EG11" s="288"/>
      <c r="EH11" s="288"/>
      <c r="EI11" s="751"/>
      <c r="EJ11" s="295">
        <v>1069</v>
      </c>
      <c r="EK11" s="296"/>
      <c r="EL11" s="296"/>
      <c r="EM11" s="296"/>
      <c r="EN11" s="288"/>
      <c r="EO11" s="289"/>
    </row>
    <row r="12" spans="1:145" ht="16.5">
      <c r="A12" s="1012" t="s">
        <v>138</v>
      </c>
      <c r="B12" s="1008"/>
      <c r="C12" s="285"/>
      <c r="D12" s="285"/>
      <c r="E12" s="285"/>
      <c r="F12" s="285"/>
      <c r="G12" s="286"/>
      <c r="H12" s="287"/>
      <c r="I12" s="288"/>
      <c r="J12" s="288"/>
      <c r="K12" s="288"/>
      <c r="L12" s="288"/>
      <c r="M12" s="289"/>
      <c r="N12" s="298"/>
      <c r="O12" s="288"/>
      <c r="P12" s="288"/>
      <c r="Q12" s="288"/>
      <c r="R12" s="288"/>
      <c r="S12" s="289"/>
      <c r="T12" s="287"/>
      <c r="U12" s="288"/>
      <c r="V12" s="288"/>
      <c r="W12" s="288"/>
      <c r="X12" s="288"/>
      <c r="Y12" s="289"/>
      <c r="Z12" s="287"/>
      <c r="AA12" s="288"/>
      <c r="AB12" s="288"/>
      <c r="AC12" s="288"/>
      <c r="AD12" s="288"/>
      <c r="AE12" s="289"/>
      <c r="AF12" s="287"/>
      <c r="AG12" s="288"/>
      <c r="AH12" s="288"/>
      <c r="AI12" s="288"/>
      <c r="AJ12" s="288"/>
      <c r="AK12" s="289"/>
      <c r="AL12" s="287"/>
      <c r="AM12" s="288"/>
      <c r="AN12" s="288"/>
      <c r="AO12" s="288"/>
      <c r="AP12" s="288"/>
      <c r="AQ12" s="289"/>
      <c r="AR12" s="287"/>
      <c r="AS12" s="288"/>
      <c r="AT12" s="288"/>
      <c r="AU12" s="288"/>
      <c r="AV12" s="288"/>
      <c r="AW12" s="289">
        <v>4</v>
      </c>
      <c r="AX12" s="287"/>
      <c r="AY12" s="288"/>
      <c r="AZ12" s="288"/>
      <c r="BA12" s="288"/>
      <c r="BB12" s="288"/>
      <c r="BC12" s="289">
        <v>23</v>
      </c>
      <c r="BD12" s="287"/>
      <c r="BE12" s="288"/>
      <c r="BF12" s="288"/>
      <c r="BG12" s="288"/>
      <c r="BH12" s="288"/>
      <c r="BI12" s="289"/>
      <c r="BJ12" s="287">
        <v>12</v>
      </c>
      <c r="BK12" s="288"/>
      <c r="BL12" s="288"/>
      <c r="BM12" s="288"/>
      <c r="BN12" s="288"/>
      <c r="BO12" s="289">
        <v>23</v>
      </c>
      <c r="BP12" s="287">
        <v>15</v>
      </c>
      <c r="BQ12" s="288"/>
      <c r="BR12" s="288"/>
      <c r="BS12" s="288"/>
      <c r="BT12" s="288"/>
      <c r="BU12" s="289">
        <v>407</v>
      </c>
      <c r="BV12" s="298"/>
      <c r="BW12" s="288"/>
      <c r="BX12" s="288"/>
      <c r="BY12" s="288"/>
      <c r="BZ12" s="288"/>
      <c r="CA12" s="289"/>
      <c r="CB12" s="298"/>
      <c r="CC12" s="288"/>
      <c r="CD12" s="288"/>
      <c r="CE12" s="288"/>
      <c r="CF12" s="288"/>
      <c r="CG12" s="289">
        <v>4</v>
      </c>
      <c r="CH12" s="298"/>
      <c r="CI12" s="288"/>
      <c r="CJ12" s="288"/>
      <c r="CK12" s="288"/>
      <c r="CL12" s="288"/>
      <c r="CM12" s="289"/>
      <c r="CN12" s="298"/>
      <c r="CO12" s="288"/>
      <c r="CP12" s="288"/>
      <c r="CQ12" s="288"/>
      <c r="CR12" s="288"/>
      <c r="CS12" s="289">
        <v>25</v>
      </c>
      <c r="CT12" s="298"/>
      <c r="CU12" s="288"/>
      <c r="CV12" s="288"/>
      <c r="CW12" s="288"/>
      <c r="CX12" s="288"/>
      <c r="CY12" s="289">
        <v>11</v>
      </c>
      <c r="CZ12" s="298"/>
      <c r="DA12" s="288"/>
      <c r="DB12" s="288"/>
      <c r="DC12" s="288"/>
      <c r="DD12" s="288"/>
      <c r="DE12" s="289"/>
      <c r="DF12" s="1428"/>
      <c r="DG12" s="288"/>
      <c r="DH12" s="288"/>
      <c r="DI12" s="288"/>
      <c r="DJ12" s="288"/>
      <c r="DK12" s="289"/>
      <c r="DL12" s="338"/>
      <c r="DM12" s="339"/>
      <c r="DN12" s="339"/>
      <c r="DO12" s="339"/>
      <c r="DP12" s="339"/>
      <c r="DQ12" s="334">
        <v>18</v>
      </c>
      <c r="DR12" s="1429"/>
      <c r="DS12" s="293"/>
      <c r="DT12" s="293"/>
      <c r="DU12" s="293"/>
      <c r="DV12" s="293"/>
      <c r="DW12" s="294"/>
      <c r="DX12" s="295">
        <v>102</v>
      </c>
      <c r="DY12" s="296"/>
      <c r="DZ12" s="296"/>
      <c r="EA12" s="296"/>
      <c r="EB12" s="296"/>
      <c r="EC12" s="1108">
        <v>23</v>
      </c>
      <c r="ED12" s="298"/>
      <c r="EE12" s="288"/>
      <c r="EF12" s="288"/>
      <c r="EG12" s="288"/>
      <c r="EH12" s="288"/>
      <c r="EI12" s="751"/>
      <c r="EJ12" s="295"/>
      <c r="EK12" s="296"/>
      <c r="EL12" s="296"/>
      <c r="EM12" s="296"/>
      <c r="EN12" s="288"/>
      <c r="EO12" s="289"/>
    </row>
    <row r="13" spans="1:145" ht="16.5">
      <c r="A13" s="1012" t="s">
        <v>139</v>
      </c>
      <c r="B13" s="1008"/>
      <c r="C13" s="285"/>
      <c r="D13" s="285"/>
      <c r="E13" s="285"/>
      <c r="F13" s="285"/>
      <c r="G13" s="286"/>
      <c r="H13" s="287"/>
      <c r="I13" s="288"/>
      <c r="J13" s="288"/>
      <c r="K13" s="288"/>
      <c r="L13" s="288"/>
      <c r="M13" s="289"/>
      <c r="N13" s="298"/>
      <c r="O13" s="288">
        <v>425</v>
      </c>
      <c r="P13" s="288">
        <v>2</v>
      </c>
      <c r="Q13" s="288"/>
      <c r="R13" s="288"/>
      <c r="S13" s="289"/>
      <c r="T13" s="287"/>
      <c r="U13" s="288"/>
      <c r="V13" s="288"/>
      <c r="W13" s="288"/>
      <c r="X13" s="288"/>
      <c r="Y13" s="289"/>
      <c r="Z13" s="287"/>
      <c r="AA13" s="288"/>
      <c r="AB13" s="288"/>
      <c r="AC13" s="288"/>
      <c r="AD13" s="288"/>
      <c r="AE13" s="289"/>
      <c r="AF13" s="287"/>
      <c r="AG13" s="288"/>
      <c r="AH13" s="288"/>
      <c r="AI13" s="288"/>
      <c r="AJ13" s="288"/>
      <c r="AK13" s="289"/>
      <c r="AL13" s="287"/>
      <c r="AM13" s="288"/>
      <c r="AN13" s="288"/>
      <c r="AO13" s="288"/>
      <c r="AP13" s="288"/>
      <c r="AQ13" s="289"/>
      <c r="AR13" s="287"/>
      <c r="AS13" s="288"/>
      <c r="AT13" s="288"/>
      <c r="AU13" s="288"/>
      <c r="AV13" s="288"/>
      <c r="AW13" s="289"/>
      <c r="AX13" s="287"/>
      <c r="AY13" s="288"/>
      <c r="AZ13" s="288"/>
      <c r="BA13" s="288"/>
      <c r="BB13" s="288"/>
      <c r="BC13" s="289"/>
      <c r="BD13" s="287"/>
      <c r="BE13" s="288"/>
      <c r="BF13" s="288"/>
      <c r="BG13" s="288"/>
      <c r="BH13" s="288"/>
      <c r="BI13" s="289"/>
      <c r="BJ13" s="287"/>
      <c r="BK13" s="288"/>
      <c r="BL13" s="288"/>
      <c r="BM13" s="288"/>
      <c r="BN13" s="288"/>
      <c r="BO13" s="289"/>
      <c r="BP13" s="287"/>
      <c r="BQ13" s="288"/>
      <c r="BR13" s="288"/>
      <c r="BS13" s="288"/>
      <c r="BT13" s="288"/>
      <c r="BU13" s="289"/>
      <c r="BV13" s="755"/>
      <c r="BW13" s="290"/>
      <c r="BX13" s="290"/>
      <c r="BY13" s="290"/>
      <c r="BZ13" s="290"/>
      <c r="CA13" s="1276"/>
      <c r="CB13" s="298"/>
      <c r="CC13" s="288"/>
      <c r="CD13" s="288"/>
      <c r="CE13" s="288"/>
      <c r="CF13" s="288"/>
      <c r="CG13" s="289"/>
      <c r="CH13" s="1609"/>
      <c r="CI13" s="858"/>
      <c r="CJ13" s="858"/>
      <c r="CK13" s="858"/>
      <c r="CL13" s="858"/>
      <c r="CM13" s="1535"/>
      <c r="CN13" s="298"/>
      <c r="CO13" s="288"/>
      <c r="CP13" s="288"/>
      <c r="CQ13" s="288"/>
      <c r="CR13" s="288"/>
      <c r="CS13" s="289"/>
      <c r="CT13" s="298"/>
      <c r="CU13" s="288"/>
      <c r="CV13" s="288"/>
      <c r="CW13" s="288"/>
      <c r="CX13" s="288"/>
      <c r="CY13" s="289"/>
      <c r="CZ13" s="298"/>
      <c r="DA13" s="288"/>
      <c r="DB13" s="288"/>
      <c r="DC13" s="288"/>
      <c r="DD13" s="288"/>
      <c r="DE13" s="289"/>
      <c r="DF13" s="1428"/>
      <c r="DG13" s="288"/>
      <c r="DH13" s="288"/>
      <c r="DI13" s="288"/>
      <c r="DJ13" s="288"/>
      <c r="DK13" s="289"/>
      <c r="DL13" s="338"/>
      <c r="DM13" s="339"/>
      <c r="DN13" s="339"/>
      <c r="DO13" s="339"/>
      <c r="DP13" s="339">
        <v>25</v>
      </c>
      <c r="DQ13" s="334"/>
      <c r="DR13" s="1429"/>
      <c r="DS13" s="293">
        <v>720</v>
      </c>
      <c r="DT13" s="293">
        <v>11</v>
      </c>
      <c r="DU13" s="293"/>
      <c r="DV13" s="293">
        <v>2909</v>
      </c>
      <c r="DW13" s="294"/>
      <c r="DX13" s="295"/>
      <c r="DY13" s="296"/>
      <c r="DZ13" s="296"/>
      <c r="EA13" s="296"/>
      <c r="EB13" s="296"/>
      <c r="EC13" s="1108"/>
      <c r="ED13" s="298"/>
      <c r="EE13" s="288"/>
      <c r="EF13" s="288"/>
      <c r="EG13" s="288"/>
      <c r="EH13" s="288"/>
      <c r="EI13" s="751"/>
      <c r="EJ13" s="298">
        <v>9190</v>
      </c>
      <c r="EK13" s="288">
        <v>829916</v>
      </c>
      <c r="EL13" s="288">
        <v>309370</v>
      </c>
      <c r="EM13" s="288">
        <v>617</v>
      </c>
      <c r="EN13" s="288"/>
      <c r="EO13" s="289"/>
    </row>
    <row r="14" spans="1:145" ht="16.5">
      <c r="A14" s="1012" t="s">
        <v>140</v>
      </c>
      <c r="B14" s="1008"/>
      <c r="C14" s="285"/>
      <c r="D14" s="285"/>
      <c r="E14" s="285"/>
      <c r="F14" s="285"/>
      <c r="G14" s="286"/>
      <c r="H14" s="287"/>
      <c r="I14" s="288"/>
      <c r="J14" s="288"/>
      <c r="K14" s="288"/>
      <c r="L14" s="288"/>
      <c r="M14" s="289"/>
      <c r="N14" s="298"/>
      <c r="O14" s="288"/>
      <c r="P14" s="288"/>
      <c r="Q14" s="288"/>
      <c r="R14" s="288"/>
      <c r="S14" s="289"/>
      <c r="T14" s="287"/>
      <c r="U14" s="288"/>
      <c r="V14" s="288"/>
      <c r="W14" s="288"/>
      <c r="X14" s="288"/>
      <c r="Y14" s="289"/>
      <c r="Z14" s="287"/>
      <c r="AA14" s="288"/>
      <c r="AB14" s="288"/>
      <c r="AC14" s="288"/>
      <c r="AD14" s="288"/>
      <c r="AE14" s="289"/>
      <c r="AF14" s="287"/>
      <c r="AG14" s="288"/>
      <c r="AH14" s="288"/>
      <c r="AI14" s="288"/>
      <c r="AJ14" s="288"/>
      <c r="AK14" s="289"/>
      <c r="AL14" s="287"/>
      <c r="AM14" s="288"/>
      <c r="AN14" s="288"/>
      <c r="AO14" s="288"/>
      <c r="AP14" s="288"/>
      <c r="AQ14" s="289"/>
      <c r="AR14" s="287"/>
      <c r="AS14" s="288"/>
      <c r="AT14" s="288"/>
      <c r="AU14" s="288"/>
      <c r="AV14" s="288"/>
      <c r="AW14" s="289"/>
      <c r="AX14" s="287"/>
      <c r="AY14" s="288">
        <v>282</v>
      </c>
      <c r="AZ14" s="288">
        <v>167</v>
      </c>
      <c r="BA14" s="288">
        <v>931</v>
      </c>
      <c r="BB14" s="288">
        <v>2136</v>
      </c>
      <c r="BC14" s="289"/>
      <c r="BD14" s="287"/>
      <c r="BE14" s="288"/>
      <c r="BF14" s="288"/>
      <c r="BG14" s="288"/>
      <c r="BH14" s="288"/>
      <c r="BI14" s="289"/>
      <c r="BJ14" s="287"/>
      <c r="BK14" s="288"/>
      <c r="BL14" s="288"/>
      <c r="BM14" s="288"/>
      <c r="BN14" s="288"/>
      <c r="BO14" s="289"/>
      <c r="BP14" s="287"/>
      <c r="BQ14" s="288"/>
      <c r="BR14" s="288"/>
      <c r="BS14" s="288"/>
      <c r="BT14" s="288"/>
      <c r="BU14" s="289"/>
      <c r="BV14" s="755"/>
      <c r="BW14" s="290"/>
      <c r="BX14" s="290"/>
      <c r="BY14" s="290"/>
      <c r="BZ14" s="290"/>
      <c r="CA14" s="1276"/>
      <c r="CB14" s="298"/>
      <c r="CC14" s="288"/>
      <c r="CD14" s="288"/>
      <c r="CE14" s="288"/>
      <c r="CF14" s="288"/>
      <c r="CG14" s="289"/>
      <c r="CH14" s="1609"/>
      <c r="CI14" s="858"/>
      <c r="CJ14" s="858"/>
      <c r="CK14" s="858"/>
      <c r="CL14" s="858"/>
      <c r="CM14" s="1535"/>
      <c r="CN14" s="298"/>
      <c r="CO14" s="288"/>
      <c r="CP14" s="288"/>
      <c r="CQ14" s="288"/>
      <c r="CR14" s="288"/>
      <c r="CS14" s="289"/>
      <c r="CT14" s="298"/>
      <c r="CU14" s="288"/>
      <c r="CV14" s="288"/>
      <c r="CW14" s="288"/>
      <c r="CX14" s="288"/>
      <c r="CY14" s="289"/>
      <c r="CZ14" s="298"/>
      <c r="DA14" s="288"/>
      <c r="DB14" s="288"/>
      <c r="DC14" s="288"/>
      <c r="DD14" s="288"/>
      <c r="DE14" s="289"/>
      <c r="DF14" s="1428"/>
      <c r="DG14" s="288"/>
      <c r="DH14" s="288"/>
      <c r="DI14" s="288"/>
      <c r="DJ14" s="288"/>
      <c r="DK14" s="289"/>
      <c r="DL14" s="338"/>
      <c r="DM14" s="339"/>
      <c r="DN14" s="339"/>
      <c r="DO14" s="339"/>
      <c r="DP14" s="339"/>
      <c r="DQ14" s="334"/>
      <c r="DR14" s="1429"/>
      <c r="DS14" s="293"/>
      <c r="DT14" s="293"/>
      <c r="DU14" s="293"/>
      <c r="DV14" s="293"/>
      <c r="DW14" s="294"/>
      <c r="DX14" s="295"/>
      <c r="DY14" s="296"/>
      <c r="DZ14" s="296"/>
      <c r="EA14" s="296"/>
      <c r="EB14" s="296"/>
      <c r="EC14" s="1108"/>
      <c r="ED14" s="298"/>
      <c r="EE14" s="288"/>
      <c r="EF14" s="288"/>
      <c r="EG14" s="288"/>
      <c r="EH14" s="288"/>
      <c r="EI14" s="751"/>
      <c r="EJ14" s="298"/>
      <c r="EK14" s="288"/>
      <c r="EL14" s="288"/>
      <c r="EM14" s="288"/>
      <c r="EN14" s="288"/>
      <c r="EO14" s="289"/>
    </row>
    <row r="15" spans="1:145" s="1534" customFormat="1" ht="18">
      <c r="A15" s="1011" t="s">
        <v>141</v>
      </c>
      <c r="B15" s="1009">
        <v>24</v>
      </c>
      <c r="C15" s="302">
        <v>1206</v>
      </c>
      <c r="D15" s="302">
        <v>572</v>
      </c>
      <c r="E15" s="302">
        <v>377</v>
      </c>
      <c r="F15" s="302">
        <v>107</v>
      </c>
      <c r="G15" s="303">
        <v>4202</v>
      </c>
      <c r="H15" s="304"/>
      <c r="I15" s="305">
        <v>14</v>
      </c>
      <c r="J15" s="305">
        <v>549</v>
      </c>
      <c r="K15" s="305">
        <v>0</v>
      </c>
      <c r="L15" s="305">
        <v>509</v>
      </c>
      <c r="M15" s="306">
        <v>11</v>
      </c>
      <c r="N15" s="309">
        <v>2</v>
      </c>
      <c r="O15" s="305">
        <v>1845</v>
      </c>
      <c r="P15" s="305">
        <v>6</v>
      </c>
      <c r="Q15" s="305">
        <v>1979</v>
      </c>
      <c r="R15" s="305">
        <v>25</v>
      </c>
      <c r="S15" s="306">
        <f>2+51</f>
        <v>53</v>
      </c>
      <c r="T15" s="304">
        <v>3</v>
      </c>
      <c r="U15" s="305">
        <v>353</v>
      </c>
      <c r="V15" s="305"/>
      <c r="W15" s="305">
        <v>3165</v>
      </c>
      <c r="X15" s="305">
        <v>415</v>
      </c>
      <c r="Y15" s="306">
        <v>45</v>
      </c>
      <c r="Z15" s="304">
        <v>7</v>
      </c>
      <c r="AA15" s="305">
        <v>492</v>
      </c>
      <c r="AB15" s="305">
        <v>285</v>
      </c>
      <c r="AC15" s="305">
        <v>256</v>
      </c>
      <c r="AD15" s="305">
        <v>233</v>
      </c>
      <c r="AE15" s="306"/>
      <c r="AF15" s="304">
        <v>1</v>
      </c>
      <c r="AG15" s="305">
        <v>190</v>
      </c>
      <c r="AH15" s="305"/>
      <c r="AI15" s="305">
        <v>174</v>
      </c>
      <c r="AJ15" s="305">
        <v>240</v>
      </c>
      <c r="AK15" s="306">
        <v>708</v>
      </c>
      <c r="AL15" s="304">
        <v>262</v>
      </c>
      <c r="AM15" s="305">
        <v>9</v>
      </c>
      <c r="AN15" s="305">
        <v>332</v>
      </c>
      <c r="AO15" s="305"/>
      <c r="AP15" s="305">
        <v>544</v>
      </c>
      <c r="AQ15" s="306"/>
      <c r="AR15" s="304"/>
      <c r="AS15" s="305"/>
      <c r="AT15" s="305">
        <v>251</v>
      </c>
      <c r="AU15" s="305">
        <v>197</v>
      </c>
      <c r="AV15" s="305">
        <v>249</v>
      </c>
      <c r="AW15" s="306"/>
      <c r="AX15" s="304"/>
      <c r="AY15" s="305">
        <v>22</v>
      </c>
      <c r="AZ15" s="305">
        <v>300</v>
      </c>
      <c r="BA15" s="305">
        <v>250</v>
      </c>
      <c r="BB15" s="305">
        <v>807</v>
      </c>
      <c r="BC15" s="306"/>
      <c r="BD15" s="304">
        <v>8</v>
      </c>
      <c r="BE15" s="305">
        <v>1653</v>
      </c>
      <c r="BF15" s="305">
        <v>811</v>
      </c>
      <c r="BG15" s="305">
        <v>91</v>
      </c>
      <c r="BH15" s="305"/>
      <c r="BI15" s="306"/>
      <c r="BJ15" s="304">
        <v>559</v>
      </c>
      <c r="BK15" s="305">
        <v>40610</v>
      </c>
      <c r="BL15" s="305">
        <v>3210</v>
      </c>
      <c r="BM15" s="305">
        <v>6493</v>
      </c>
      <c r="BN15" s="305">
        <v>2579</v>
      </c>
      <c r="BO15" s="306">
        <v>74549</v>
      </c>
      <c r="BP15" s="304">
        <v>1211</v>
      </c>
      <c r="BQ15" s="305">
        <v>7613</v>
      </c>
      <c r="BR15" s="305">
        <v>448</v>
      </c>
      <c r="BS15" s="305">
        <v>11520</v>
      </c>
      <c r="BT15" s="305">
        <v>4469</v>
      </c>
      <c r="BU15" s="306">
        <v>321</v>
      </c>
      <c r="BV15" s="1532">
        <v>8</v>
      </c>
      <c r="BW15" s="1533">
        <v>762</v>
      </c>
      <c r="BX15" s="1533">
        <v>6</v>
      </c>
      <c r="BY15" s="1533"/>
      <c r="BZ15" s="1533">
        <v>114</v>
      </c>
      <c r="CA15" s="1541"/>
      <c r="CB15" s="309">
        <v>10</v>
      </c>
      <c r="CC15" s="305">
        <v>186</v>
      </c>
      <c r="CD15" s="305">
        <v>502</v>
      </c>
      <c r="CE15" s="305"/>
      <c r="CF15" s="305">
        <v>16602</v>
      </c>
      <c r="CG15" s="306">
        <v>6</v>
      </c>
      <c r="CH15" s="309">
        <v>12</v>
      </c>
      <c r="CI15" s="305">
        <v>1346</v>
      </c>
      <c r="CJ15" s="305">
        <v>418</v>
      </c>
      <c r="CK15" s="305">
        <v>34</v>
      </c>
      <c r="CL15" s="305">
        <v>849</v>
      </c>
      <c r="CM15" s="306">
        <v>274</v>
      </c>
      <c r="CN15" s="309">
        <v>3</v>
      </c>
      <c r="CO15" s="305">
        <v>151</v>
      </c>
      <c r="CP15" s="305"/>
      <c r="CQ15" s="305"/>
      <c r="CR15" s="305"/>
      <c r="CS15" s="306">
        <v>2</v>
      </c>
      <c r="CT15" s="309"/>
      <c r="CU15" s="305">
        <v>2131</v>
      </c>
      <c r="CV15" s="305">
        <v>5712</v>
      </c>
      <c r="CW15" s="305">
        <v>32</v>
      </c>
      <c r="CX15" s="305">
        <v>3883</v>
      </c>
      <c r="CY15" s="306">
        <v>4</v>
      </c>
      <c r="CZ15" s="309">
        <v>4</v>
      </c>
      <c r="DA15" s="305">
        <v>2732</v>
      </c>
      <c r="DB15" s="305">
        <v>38307</v>
      </c>
      <c r="DC15" s="305">
        <v>273</v>
      </c>
      <c r="DD15" s="305">
        <v>30170</v>
      </c>
      <c r="DE15" s="306">
        <v>19</v>
      </c>
      <c r="DF15" s="1616"/>
      <c r="DG15" s="305"/>
      <c r="DH15" s="305"/>
      <c r="DI15" s="305"/>
      <c r="DJ15" s="305"/>
      <c r="DK15" s="306"/>
      <c r="DL15" s="1617">
        <v>42</v>
      </c>
      <c r="DM15" s="1557">
        <v>549</v>
      </c>
      <c r="DN15" s="1557">
        <v>51</v>
      </c>
      <c r="DO15" s="1557">
        <v>2396</v>
      </c>
      <c r="DP15" s="1557">
        <v>1057</v>
      </c>
      <c r="DQ15" s="1558">
        <v>19569</v>
      </c>
      <c r="DR15" s="1618">
        <v>39</v>
      </c>
      <c r="DS15" s="859">
        <v>1594</v>
      </c>
      <c r="DT15" s="859">
        <v>56</v>
      </c>
      <c r="DU15" s="859">
        <v>36</v>
      </c>
      <c r="DV15" s="859">
        <v>488</v>
      </c>
      <c r="DW15" s="1528"/>
      <c r="DX15" s="1529">
        <v>7</v>
      </c>
      <c r="DY15" s="1530">
        <v>274</v>
      </c>
      <c r="DZ15" s="1530">
        <v>76</v>
      </c>
      <c r="EA15" s="1530">
        <v>48</v>
      </c>
      <c r="EB15" s="1534">
        <v>2579</v>
      </c>
      <c r="EC15" s="1619">
        <v>5</v>
      </c>
      <c r="ED15" s="309"/>
      <c r="EE15" s="305">
        <v>935</v>
      </c>
      <c r="EF15" s="305">
        <v>65</v>
      </c>
      <c r="EG15" s="305">
        <v>7</v>
      </c>
      <c r="EH15" s="305">
        <v>170</v>
      </c>
      <c r="EI15" s="753">
        <v>25</v>
      </c>
      <c r="EJ15" s="309">
        <v>1579</v>
      </c>
      <c r="EK15" s="305">
        <v>752553</v>
      </c>
      <c r="EL15" s="305">
        <v>2594</v>
      </c>
      <c r="EM15" s="305">
        <v>111752</v>
      </c>
      <c r="EN15" s="305"/>
      <c r="EO15" s="306"/>
    </row>
    <row r="16" spans="1:145" ht="16.5">
      <c r="A16" s="1012" t="s">
        <v>142</v>
      </c>
      <c r="B16" s="1008">
        <v>21</v>
      </c>
      <c r="C16" s="285">
        <v>687</v>
      </c>
      <c r="D16" s="285">
        <v>563</v>
      </c>
      <c r="E16" s="285">
        <v>85</v>
      </c>
      <c r="F16" s="285">
        <v>107</v>
      </c>
      <c r="G16" s="286">
        <v>2484</v>
      </c>
      <c r="H16" s="287"/>
      <c r="I16" s="288">
        <v>13</v>
      </c>
      <c r="J16" s="288">
        <v>545</v>
      </c>
      <c r="K16" s="288">
        <v>0</v>
      </c>
      <c r="L16" s="288">
        <v>475</v>
      </c>
      <c r="M16" s="289">
        <v>11</v>
      </c>
      <c r="N16" s="298">
        <v>2</v>
      </c>
      <c r="O16" s="288">
        <v>1388</v>
      </c>
      <c r="P16" s="288">
        <v>6</v>
      </c>
      <c r="Q16" s="288">
        <v>363</v>
      </c>
      <c r="R16" s="288">
        <v>25</v>
      </c>
      <c r="S16" s="289">
        <v>12</v>
      </c>
      <c r="T16" s="287">
        <v>3</v>
      </c>
      <c r="U16" s="288">
        <v>304</v>
      </c>
      <c r="V16" s="288"/>
      <c r="W16" s="288">
        <v>3165</v>
      </c>
      <c r="X16" s="288">
        <v>412</v>
      </c>
      <c r="Y16" s="289">
        <v>45</v>
      </c>
      <c r="Z16" s="287">
        <v>5</v>
      </c>
      <c r="AA16" s="288">
        <v>359</v>
      </c>
      <c r="AB16" s="288">
        <v>285</v>
      </c>
      <c r="AC16" s="288">
        <v>84</v>
      </c>
      <c r="AD16" s="288">
        <v>233</v>
      </c>
      <c r="AE16" s="289"/>
      <c r="AF16" s="287"/>
      <c r="AG16" s="288">
        <v>141</v>
      </c>
      <c r="AH16" s="288"/>
      <c r="AI16" s="288">
        <v>81</v>
      </c>
      <c r="AJ16" s="288">
        <v>238</v>
      </c>
      <c r="AK16" s="289">
        <v>601</v>
      </c>
      <c r="AL16" s="287">
        <v>236</v>
      </c>
      <c r="AM16" s="288">
        <v>9</v>
      </c>
      <c r="AN16" s="288">
        <v>279</v>
      </c>
      <c r="AO16" s="288"/>
      <c r="AP16" s="288">
        <v>521</v>
      </c>
      <c r="AQ16" s="289"/>
      <c r="AR16" s="287"/>
      <c r="AS16" s="288"/>
      <c r="AT16" s="288">
        <v>140</v>
      </c>
      <c r="AU16" s="288">
        <v>91</v>
      </c>
      <c r="AV16" s="288">
        <v>84</v>
      </c>
      <c r="AW16" s="289"/>
      <c r="AX16" s="287"/>
      <c r="AY16" s="288">
        <v>11</v>
      </c>
      <c r="AZ16" s="288">
        <v>289</v>
      </c>
      <c r="BA16" s="288">
        <v>250</v>
      </c>
      <c r="BB16" s="288">
        <v>802</v>
      </c>
      <c r="BC16" s="289"/>
      <c r="BD16" s="287">
        <v>5</v>
      </c>
      <c r="BE16" s="288">
        <v>1395</v>
      </c>
      <c r="BF16" s="288">
        <v>751</v>
      </c>
      <c r="BG16" s="288">
        <v>39</v>
      </c>
      <c r="BH16" s="288"/>
      <c r="BI16" s="289"/>
      <c r="BJ16" s="287">
        <v>456</v>
      </c>
      <c r="BK16" s="288">
        <v>15107</v>
      </c>
      <c r="BL16" s="288">
        <v>1134</v>
      </c>
      <c r="BM16" s="288">
        <v>3301</v>
      </c>
      <c r="BN16" s="288">
        <v>2512</v>
      </c>
      <c r="BO16" s="289">
        <v>24134</v>
      </c>
      <c r="BP16" s="287">
        <v>1123</v>
      </c>
      <c r="BQ16" s="288">
        <v>4553</v>
      </c>
      <c r="BR16" s="288">
        <v>265</v>
      </c>
      <c r="BS16" s="288">
        <v>1026</v>
      </c>
      <c r="BT16" s="288">
        <v>3948</v>
      </c>
      <c r="BU16" s="289">
        <v>315</v>
      </c>
      <c r="BV16" s="755">
        <v>8</v>
      </c>
      <c r="BW16" s="290">
        <v>762</v>
      </c>
      <c r="BX16" s="290">
        <v>5</v>
      </c>
      <c r="BY16" s="290"/>
      <c r="BZ16" s="290">
        <v>114</v>
      </c>
      <c r="CA16" s="1276"/>
      <c r="CB16" s="298">
        <v>6</v>
      </c>
      <c r="CC16" s="288">
        <v>127</v>
      </c>
      <c r="CD16" s="288">
        <v>221</v>
      </c>
      <c r="CE16" s="288"/>
      <c r="CF16" s="288">
        <v>6122</v>
      </c>
      <c r="CG16" s="289">
        <v>6</v>
      </c>
      <c r="CH16" s="298">
        <v>4</v>
      </c>
      <c r="CI16" s="288">
        <v>1312</v>
      </c>
      <c r="CJ16" s="288">
        <v>381</v>
      </c>
      <c r="CK16" s="288">
        <v>34</v>
      </c>
      <c r="CL16" s="288">
        <v>815</v>
      </c>
      <c r="CM16" s="289">
        <v>269</v>
      </c>
      <c r="CN16" s="298">
        <v>3</v>
      </c>
      <c r="CO16" s="288">
        <v>85</v>
      </c>
      <c r="CP16" s="288"/>
      <c r="CQ16" s="288"/>
      <c r="CR16" s="288"/>
      <c r="CS16" s="289">
        <v>2</v>
      </c>
      <c r="CT16" s="298"/>
      <c r="CU16" s="288">
        <v>1695</v>
      </c>
      <c r="CV16" s="288">
        <v>5511</v>
      </c>
      <c r="CW16" s="288">
        <v>32</v>
      </c>
      <c r="CX16" s="288">
        <v>2899</v>
      </c>
      <c r="CY16" s="289">
        <v>4</v>
      </c>
      <c r="CZ16" s="298">
        <v>3</v>
      </c>
      <c r="DA16" s="288">
        <v>2104</v>
      </c>
      <c r="DB16" s="288">
        <v>25951</v>
      </c>
      <c r="DC16" s="288">
        <v>273</v>
      </c>
      <c r="DD16" s="288">
        <v>17248</v>
      </c>
      <c r="DE16" s="289">
        <v>19</v>
      </c>
      <c r="DF16" s="1428"/>
      <c r="DG16" s="288"/>
      <c r="DH16" s="288"/>
      <c r="DI16" s="288"/>
      <c r="DJ16" s="288"/>
      <c r="DK16" s="289"/>
      <c r="DL16" s="338">
        <v>14</v>
      </c>
      <c r="DM16" s="339">
        <v>524</v>
      </c>
      <c r="DN16" s="339">
        <v>51</v>
      </c>
      <c r="DO16" s="339">
        <v>1530</v>
      </c>
      <c r="DP16" s="339">
        <v>743</v>
      </c>
      <c r="DQ16" s="334">
        <v>17612</v>
      </c>
      <c r="DR16" s="1429">
        <v>11</v>
      </c>
      <c r="DS16" s="293">
        <v>1537</v>
      </c>
      <c r="DT16" s="293">
        <v>34</v>
      </c>
      <c r="DU16" s="293">
        <v>36</v>
      </c>
      <c r="DV16" s="293">
        <v>0</v>
      </c>
      <c r="DW16" s="294"/>
      <c r="DX16" s="295">
        <v>6</v>
      </c>
      <c r="DY16" s="296">
        <v>183</v>
      </c>
      <c r="DZ16" s="296">
        <v>69</v>
      </c>
      <c r="EA16" s="296">
        <v>36</v>
      </c>
      <c r="EB16" s="204">
        <v>953</v>
      </c>
      <c r="EC16" s="1108">
        <v>5</v>
      </c>
      <c r="ED16" s="298"/>
      <c r="EE16" s="288">
        <v>897</v>
      </c>
      <c r="EF16" s="288">
        <v>65</v>
      </c>
      <c r="EG16" s="288">
        <v>7</v>
      </c>
      <c r="EH16" s="288">
        <v>170</v>
      </c>
      <c r="EI16" s="751">
        <v>25</v>
      </c>
      <c r="EJ16" s="298">
        <v>909</v>
      </c>
      <c r="EK16" s="288">
        <v>539850</v>
      </c>
      <c r="EL16" s="288">
        <v>1832</v>
      </c>
      <c r="EM16" s="288">
        <v>29195</v>
      </c>
      <c r="EN16" s="288"/>
      <c r="EO16" s="289"/>
    </row>
    <row r="17" spans="1:145" ht="16.5">
      <c r="A17" s="1012" t="s">
        <v>143</v>
      </c>
      <c r="B17" s="1008">
        <v>3</v>
      </c>
      <c r="C17" s="285">
        <v>105</v>
      </c>
      <c r="D17" s="285">
        <v>9</v>
      </c>
      <c r="E17" s="285">
        <v>36</v>
      </c>
      <c r="F17" s="285"/>
      <c r="G17" s="286">
        <v>264</v>
      </c>
      <c r="H17" s="287"/>
      <c r="I17" s="288"/>
      <c r="J17" s="288"/>
      <c r="K17" s="288"/>
      <c r="L17" s="288">
        <v>6</v>
      </c>
      <c r="M17" s="289"/>
      <c r="N17" s="298"/>
      <c r="O17" s="288">
        <v>457</v>
      </c>
      <c r="P17" s="288"/>
      <c r="Q17" s="288">
        <v>223</v>
      </c>
      <c r="R17" s="288"/>
      <c r="S17" s="289">
        <v>5</v>
      </c>
      <c r="T17" s="287"/>
      <c r="U17" s="288">
        <v>49</v>
      </c>
      <c r="V17" s="288"/>
      <c r="W17" s="288"/>
      <c r="X17" s="288">
        <v>3</v>
      </c>
      <c r="Y17" s="289"/>
      <c r="Z17" s="287">
        <v>1</v>
      </c>
      <c r="AA17" s="288">
        <v>121</v>
      </c>
      <c r="AB17" s="288"/>
      <c r="AC17" s="288">
        <v>39</v>
      </c>
      <c r="AD17" s="288"/>
      <c r="AE17" s="289"/>
      <c r="AF17" s="287">
        <v>1</v>
      </c>
      <c r="AG17" s="288">
        <v>20</v>
      </c>
      <c r="AH17" s="288"/>
      <c r="AI17" s="288">
        <v>34</v>
      </c>
      <c r="AJ17" s="288"/>
      <c r="AK17" s="289"/>
      <c r="AL17" s="287">
        <v>26</v>
      </c>
      <c r="AM17" s="288"/>
      <c r="AN17" s="288">
        <v>23</v>
      </c>
      <c r="AO17" s="288"/>
      <c r="AP17" s="288">
        <v>15</v>
      </c>
      <c r="AQ17" s="289"/>
      <c r="AR17" s="287"/>
      <c r="AS17" s="288"/>
      <c r="AT17" s="288">
        <v>19</v>
      </c>
      <c r="AU17" s="288">
        <v>50</v>
      </c>
      <c r="AV17" s="288">
        <v>6</v>
      </c>
      <c r="AW17" s="289"/>
      <c r="AX17" s="287"/>
      <c r="AY17" s="288">
        <v>11</v>
      </c>
      <c r="AZ17" s="288">
        <v>11</v>
      </c>
      <c r="BA17" s="288"/>
      <c r="BB17" s="288">
        <v>5</v>
      </c>
      <c r="BC17" s="289"/>
      <c r="BD17" s="287">
        <v>3</v>
      </c>
      <c r="BE17" s="288">
        <v>110</v>
      </c>
      <c r="BF17" s="288">
        <v>52</v>
      </c>
      <c r="BG17" s="288">
        <v>17</v>
      </c>
      <c r="BH17" s="288"/>
      <c r="BI17" s="289"/>
      <c r="BJ17" s="287">
        <v>53</v>
      </c>
      <c r="BK17" s="288">
        <v>5256</v>
      </c>
      <c r="BL17" s="288">
        <v>692</v>
      </c>
      <c r="BM17" s="288">
        <v>756</v>
      </c>
      <c r="BN17" s="288">
        <v>15</v>
      </c>
      <c r="BO17" s="289">
        <v>7037</v>
      </c>
      <c r="BP17" s="287">
        <v>71</v>
      </c>
      <c r="BQ17" s="288">
        <v>601</v>
      </c>
      <c r="BR17" s="288">
        <v>55</v>
      </c>
      <c r="BS17" s="288">
        <v>162</v>
      </c>
      <c r="BT17" s="288">
        <v>94</v>
      </c>
      <c r="BU17" s="289">
        <v>6</v>
      </c>
      <c r="BV17" s="755"/>
      <c r="BW17" s="290"/>
      <c r="BX17" s="290">
        <v>1</v>
      </c>
      <c r="BY17" s="290"/>
      <c r="BZ17" s="290"/>
      <c r="CA17" s="1276"/>
      <c r="CB17" s="298">
        <v>1</v>
      </c>
      <c r="CC17" s="288">
        <v>8</v>
      </c>
      <c r="CD17" s="288">
        <v>183</v>
      </c>
      <c r="CE17" s="288"/>
      <c r="CF17" s="288">
        <v>1134</v>
      </c>
      <c r="CG17" s="289"/>
      <c r="CH17" s="298"/>
      <c r="CI17" s="288">
        <v>34</v>
      </c>
      <c r="CJ17" s="288">
        <v>35</v>
      </c>
      <c r="CK17" s="288"/>
      <c r="CL17" s="288">
        <v>13</v>
      </c>
      <c r="CM17" s="289">
        <v>5</v>
      </c>
      <c r="CN17" s="298"/>
      <c r="CO17" s="288">
        <v>21</v>
      </c>
      <c r="CP17" s="288"/>
      <c r="CQ17" s="288"/>
      <c r="CR17" s="288"/>
      <c r="CS17" s="289"/>
      <c r="CT17" s="298"/>
      <c r="CU17" s="288">
        <v>435</v>
      </c>
      <c r="CV17" s="288">
        <v>197</v>
      </c>
      <c r="CW17" s="288"/>
      <c r="CX17" s="288">
        <v>535</v>
      </c>
      <c r="CY17" s="289"/>
      <c r="CZ17" s="298"/>
      <c r="DA17" s="288">
        <v>145</v>
      </c>
      <c r="DB17" s="288">
        <v>4110</v>
      </c>
      <c r="DC17" s="288"/>
      <c r="DD17" s="288">
        <v>3755</v>
      </c>
      <c r="DE17" s="289"/>
      <c r="DF17" s="1428"/>
      <c r="DG17" s="288"/>
      <c r="DH17" s="288"/>
      <c r="DI17" s="288"/>
      <c r="DJ17" s="288"/>
      <c r="DK17" s="289"/>
      <c r="DL17" s="338">
        <v>15</v>
      </c>
      <c r="DM17" s="339">
        <v>22</v>
      </c>
      <c r="DN17" s="339"/>
      <c r="DO17" s="339">
        <v>864</v>
      </c>
      <c r="DP17" s="339">
        <v>314</v>
      </c>
      <c r="DQ17" s="334">
        <v>1957</v>
      </c>
      <c r="DR17" s="1429">
        <v>4</v>
      </c>
      <c r="DS17" s="293">
        <v>57</v>
      </c>
      <c r="DT17" s="293">
        <v>22</v>
      </c>
      <c r="DU17" s="293"/>
      <c r="DV17" s="293">
        <v>3</v>
      </c>
      <c r="DW17" s="294"/>
      <c r="DX17" s="295"/>
      <c r="DY17" s="296">
        <v>63</v>
      </c>
      <c r="DZ17" s="296">
        <v>7</v>
      </c>
      <c r="EA17" s="296"/>
      <c r="EB17" s="204">
        <v>192</v>
      </c>
      <c r="EC17" s="1108"/>
      <c r="ED17" s="298"/>
      <c r="EE17" s="288">
        <v>38</v>
      </c>
      <c r="EF17" s="288"/>
      <c r="EG17" s="288"/>
      <c r="EH17" s="288"/>
      <c r="EI17" s="751"/>
      <c r="EJ17" s="298">
        <v>316</v>
      </c>
      <c r="EK17" s="288">
        <v>162606</v>
      </c>
      <c r="EL17" s="288">
        <v>569</v>
      </c>
      <c r="EM17" s="288">
        <v>6130</v>
      </c>
      <c r="EN17" s="288"/>
      <c r="EO17" s="289"/>
    </row>
    <row r="18" spans="1:145" ht="16.5">
      <c r="A18" s="1012" t="s">
        <v>144</v>
      </c>
      <c r="B18" s="1008"/>
      <c r="C18" s="285">
        <v>79</v>
      </c>
      <c r="D18" s="285"/>
      <c r="E18" s="285">
        <v>143</v>
      </c>
      <c r="F18" s="285"/>
      <c r="G18" s="286">
        <v>1113</v>
      </c>
      <c r="H18" s="287"/>
      <c r="I18" s="288"/>
      <c r="J18" s="288">
        <v>2</v>
      </c>
      <c r="K18" s="288">
        <v>0</v>
      </c>
      <c r="L18" s="288">
        <v>24</v>
      </c>
      <c r="M18" s="289"/>
      <c r="N18" s="298"/>
      <c r="O18" s="288"/>
      <c r="P18" s="288"/>
      <c r="Q18" s="288">
        <v>487</v>
      </c>
      <c r="R18" s="288"/>
      <c r="S18" s="289">
        <v>7</v>
      </c>
      <c r="T18" s="287"/>
      <c r="U18" s="288"/>
      <c r="V18" s="288"/>
      <c r="W18" s="288"/>
      <c r="X18" s="288"/>
      <c r="Y18" s="289"/>
      <c r="Z18" s="287">
        <v>1</v>
      </c>
      <c r="AA18" s="288">
        <v>8</v>
      </c>
      <c r="AB18" s="288"/>
      <c r="AC18" s="288">
        <v>65</v>
      </c>
      <c r="AD18" s="288"/>
      <c r="AE18" s="289"/>
      <c r="AF18" s="287"/>
      <c r="AG18" s="288">
        <v>6</v>
      </c>
      <c r="AH18" s="288"/>
      <c r="AI18" s="288">
        <v>20</v>
      </c>
      <c r="AJ18" s="288">
        <v>2</v>
      </c>
      <c r="AK18" s="289">
        <v>107</v>
      </c>
      <c r="AL18" s="287"/>
      <c r="AM18" s="288"/>
      <c r="AN18" s="288">
        <v>30</v>
      </c>
      <c r="AO18" s="288"/>
      <c r="AP18" s="288">
        <v>4</v>
      </c>
      <c r="AQ18" s="289"/>
      <c r="AR18" s="287"/>
      <c r="AS18" s="288"/>
      <c r="AT18" s="288">
        <v>43</v>
      </c>
      <c r="AU18" s="288">
        <v>34</v>
      </c>
      <c r="AV18" s="288">
        <v>128</v>
      </c>
      <c r="AW18" s="289"/>
      <c r="AX18" s="287"/>
      <c r="AY18" s="288">
        <v>0</v>
      </c>
      <c r="AZ18" s="288"/>
      <c r="BA18" s="288"/>
      <c r="BB18" s="288"/>
      <c r="BC18" s="289"/>
      <c r="BD18" s="287"/>
      <c r="BE18" s="288">
        <v>28</v>
      </c>
      <c r="BF18" s="288"/>
      <c r="BG18" s="288">
        <v>1</v>
      </c>
      <c r="BH18" s="288"/>
      <c r="BI18" s="289"/>
      <c r="BJ18" s="287">
        <v>54</v>
      </c>
      <c r="BK18" s="288">
        <v>5460</v>
      </c>
      <c r="BL18" s="288">
        <v>444</v>
      </c>
      <c r="BM18" s="288">
        <v>780</v>
      </c>
      <c r="BN18" s="288">
        <v>11</v>
      </c>
      <c r="BO18" s="289">
        <v>4816</v>
      </c>
      <c r="BP18" s="287">
        <v>4</v>
      </c>
      <c r="BQ18" s="288">
        <v>980</v>
      </c>
      <c r="BR18" s="288">
        <v>85</v>
      </c>
      <c r="BS18" s="288">
        <v>6231</v>
      </c>
      <c r="BT18" s="288">
        <v>181</v>
      </c>
      <c r="BU18" s="289"/>
      <c r="BV18" s="755"/>
      <c r="BW18" s="290"/>
      <c r="BX18" s="290"/>
      <c r="BY18" s="290"/>
      <c r="BZ18" s="290"/>
      <c r="CA18" s="1276"/>
      <c r="CB18" s="298">
        <v>2</v>
      </c>
      <c r="CC18" s="288">
        <v>12</v>
      </c>
      <c r="CD18" s="288">
        <v>86</v>
      </c>
      <c r="CE18" s="288"/>
      <c r="CF18" s="288">
        <v>741</v>
      </c>
      <c r="CG18" s="289"/>
      <c r="CH18" s="1609">
        <v>1</v>
      </c>
      <c r="CI18" s="858"/>
      <c r="CJ18" s="858">
        <v>2</v>
      </c>
      <c r="CK18" s="858"/>
      <c r="CL18" s="858">
        <v>16</v>
      </c>
      <c r="CM18" s="1535"/>
      <c r="CN18" s="298"/>
      <c r="CO18" s="288">
        <v>19</v>
      </c>
      <c r="CP18" s="288"/>
      <c r="CQ18" s="288"/>
      <c r="CR18" s="288"/>
      <c r="CS18" s="289"/>
      <c r="CT18" s="298"/>
      <c r="CU18" s="288">
        <v>1</v>
      </c>
      <c r="CV18" s="288">
        <v>3</v>
      </c>
      <c r="CW18" s="288"/>
      <c r="CX18" s="288">
        <v>58</v>
      </c>
      <c r="CY18" s="289"/>
      <c r="CZ18" s="298">
        <v>1</v>
      </c>
      <c r="DA18" s="288">
        <v>255</v>
      </c>
      <c r="DB18" s="288">
        <v>2012</v>
      </c>
      <c r="DC18" s="288"/>
      <c r="DD18" s="288">
        <v>252</v>
      </c>
      <c r="DE18" s="289"/>
      <c r="DF18" s="1428"/>
      <c r="DG18" s="288"/>
      <c r="DH18" s="288"/>
      <c r="DI18" s="288"/>
      <c r="DJ18" s="288"/>
      <c r="DK18" s="289"/>
      <c r="DL18" s="338">
        <v>1</v>
      </c>
      <c r="DM18" s="339">
        <v>3</v>
      </c>
      <c r="DN18" s="339"/>
      <c r="DO18" s="339">
        <v>2</v>
      </c>
      <c r="DP18" s="339"/>
      <c r="DQ18" s="334"/>
      <c r="DR18" s="1429">
        <v>4</v>
      </c>
      <c r="DS18" s="293"/>
      <c r="DT18" s="293"/>
      <c r="DU18" s="293"/>
      <c r="DV18" s="293">
        <v>3</v>
      </c>
      <c r="DW18" s="294"/>
      <c r="DX18" s="295">
        <v>1</v>
      </c>
      <c r="DY18" s="296">
        <v>28</v>
      </c>
      <c r="DZ18" s="296"/>
      <c r="EA18" s="296">
        <v>12</v>
      </c>
      <c r="EB18" s="204">
        <v>252</v>
      </c>
      <c r="EC18" s="1108"/>
      <c r="ED18" s="298"/>
      <c r="EE18" s="288"/>
      <c r="EF18" s="288"/>
      <c r="EG18" s="288"/>
      <c r="EH18" s="288"/>
      <c r="EI18" s="751"/>
      <c r="EJ18" s="298">
        <v>119</v>
      </c>
      <c r="EK18" s="288">
        <v>13953</v>
      </c>
      <c r="EL18" s="288">
        <v>102</v>
      </c>
      <c r="EM18" s="288">
        <v>7268</v>
      </c>
      <c r="EN18" s="288"/>
      <c r="EO18" s="289"/>
    </row>
    <row r="19" spans="1:145" ht="17.25" thickBot="1">
      <c r="A19" s="1013" t="s">
        <v>145</v>
      </c>
      <c r="B19" s="1010"/>
      <c r="C19" s="775">
        <v>335</v>
      </c>
      <c r="D19" s="775"/>
      <c r="E19" s="775">
        <v>113</v>
      </c>
      <c r="F19" s="775"/>
      <c r="G19" s="776">
        <v>341</v>
      </c>
      <c r="H19" s="1431"/>
      <c r="I19" s="1432">
        <v>1</v>
      </c>
      <c r="J19" s="1432">
        <v>2</v>
      </c>
      <c r="K19" s="1432">
        <v>0</v>
      </c>
      <c r="L19" s="1432">
        <v>4</v>
      </c>
      <c r="M19" s="1433"/>
      <c r="N19" s="1434"/>
      <c r="O19" s="1432"/>
      <c r="P19" s="1432"/>
      <c r="Q19" s="1432">
        <v>906</v>
      </c>
      <c r="R19" s="1432"/>
      <c r="S19" s="1433">
        <v>29</v>
      </c>
      <c r="T19" s="1431"/>
      <c r="U19" s="1432"/>
      <c r="V19" s="1432"/>
      <c r="W19" s="1432"/>
      <c r="X19" s="1432"/>
      <c r="Y19" s="1433"/>
      <c r="Z19" s="1431"/>
      <c r="AA19" s="1432">
        <v>4</v>
      </c>
      <c r="AB19" s="1432"/>
      <c r="AC19" s="1432">
        <v>68</v>
      </c>
      <c r="AD19" s="1432"/>
      <c r="AE19" s="1433"/>
      <c r="AF19" s="1431"/>
      <c r="AG19" s="1432">
        <v>23</v>
      </c>
      <c r="AH19" s="1432"/>
      <c r="AI19" s="1432">
        <v>39</v>
      </c>
      <c r="AJ19" s="1432"/>
      <c r="AK19" s="1433"/>
      <c r="AL19" s="1431"/>
      <c r="AM19" s="1432"/>
      <c r="AN19" s="1432"/>
      <c r="AO19" s="1432"/>
      <c r="AP19" s="1432">
        <v>4</v>
      </c>
      <c r="AQ19" s="1433"/>
      <c r="AR19" s="1431"/>
      <c r="AS19" s="1432"/>
      <c r="AT19" s="1432">
        <v>49</v>
      </c>
      <c r="AU19" s="1432">
        <v>22</v>
      </c>
      <c r="AV19" s="1432">
        <v>31</v>
      </c>
      <c r="AW19" s="1433"/>
      <c r="AX19" s="1431"/>
      <c r="AY19" s="1432"/>
      <c r="AZ19" s="1432"/>
      <c r="BA19" s="1432"/>
      <c r="BB19" s="1432"/>
      <c r="BC19" s="1433"/>
      <c r="BD19" s="1431"/>
      <c r="BE19" s="1432">
        <v>120</v>
      </c>
      <c r="BF19" s="1432">
        <v>8</v>
      </c>
      <c r="BG19" s="1432">
        <v>34</v>
      </c>
      <c r="BH19" s="1432"/>
      <c r="BI19" s="1433"/>
      <c r="BJ19" s="1431">
        <v>3</v>
      </c>
      <c r="BK19" s="1432">
        <v>13787</v>
      </c>
      <c r="BL19" s="1432">
        <v>940</v>
      </c>
      <c r="BM19" s="1432">
        <v>1656</v>
      </c>
      <c r="BN19" s="1432">
        <v>41</v>
      </c>
      <c r="BO19" s="1433">
        <v>38562</v>
      </c>
      <c r="BP19" s="1431">
        <v>13</v>
      </c>
      <c r="BQ19" s="1432">
        <v>1479</v>
      </c>
      <c r="BR19" s="1432">
        <v>43</v>
      </c>
      <c r="BS19" s="1432">
        <v>4101</v>
      </c>
      <c r="BT19" s="1432">
        <v>446</v>
      </c>
      <c r="BU19" s="1433"/>
      <c r="BV19" s="1435"/>
      <c r="BW19" s="1436"/>
      <c r="BX19" s="1436"/>
      <c r="BY19" s="1436"/>
      <c r="BZ19" s="1436"/>
      <c r="CA19" s="1437"/>
      <c r="CB19" s="1434">
        <v>1</v>
      </c>
      <c r="CC19" s="1432">
        <v>39</v>
      </c>
      <c r="CD19" s="1432">
        <v>12</v>
      </c>
      <c r="CE19" s="1432"/>
      <c r="CF19" s="1432">
        <v>8605</v>
      </c>
      <c r="CG19" s="1433"/>
      <c r="CH19" s="1434">
        <v>7</v>
      </c>
      <c r="CI19" s="1432"/>
      <c r="CJ19" s="1432"/>
      <c r="CK19" s="1432"/>
      <c r="CL19" s="1432">
        <v>3</v>
      </c>
      <c r="CM19" s="1433"/>
      <c r="CN19" s="1434"/>
      <c r="CO19" s="1432">
        <v>26</v>
      </c>
      <c r="CP19" s="1432"/>
      <c r="CQ19" s="1432"/>
      <c r="CR19" s="1432"/>
      <c r="CS19" s="1433"/>
      <c r="CT19" s="1434"/>
      <c r="CU19" s="1432"/>
      <c r="CV19" s="1432">
        <v>1</v>
      </c>
      <c r="CW19" s="1432"/>
      <c r="CX19" s="1432">
        <v>391</v>
      </c>
      <c r="CY19" s="1433"/>
      <c r="CZ19" s="1434"/>
      <c r="DA19" s="1432">
        <v>228</v>
      </c>
      <c r="DB19" s="1432">
        <v>6234</v>
      </c>
      <c r="DC19" s="1432"/>
      <c r="DD19" s="1432">
        <v>8915</v>
      </c>
      <c r="DE19" s="1433"/>
      <c r="DF19" s="1438"/>
      <c r="DG19" s="1432"/>
      <c r="DH19" s="1432"/>
      <c r="DI19" s="1432"/>
      <c r="DJ19" s="1432"/>
      <c r="DK19" s="1433"/>
      <c r="DL19" s="340">
        <v>12</v>
      </c>
      <c r="DM19" s="341"/>
      <c r="DN19" s="341"/>
      <c r="DO19" s="341"/>
      <c r="DP19" s="341"/>
      <c r="DQ19" s="342"/>
      <c r="DR19" s="1439">
        <v>20</v>
      </c>
      <c r="DS19" s="1440"/>
      <c r="DT19" s="1440"/>
      <c r="DU19" s="1440"/>
      <c r="DV19" s="1440">
        <v>482</v>
      </c>
      <c r="DW19" s="1441"/>
      <c r="DX19" s="1442"/>
      <c r="DY19" s="1443"/>
      <c r="DZ19" s="1443"/>
      <c r="EA19" s="1443"/>
      <c r="EB19" s="1443">
        <v>1182</v>
      </c>
      <c r="EC19" s="1444"/>
      <c r="ED19" s="1434"/>
      <c r="EE19" s="1432"/>
      <c r="EF19" s="1432"/>
      <c r="EG19" s="1432"/>
      <c r="EH19" s="1432"/>
      <c r="EI19" s="1445"/>
      <c r="EJ19" s="1442">
        <v>235</v>
      </c>
      <c r="EK19" s="1443">
        <v>36144</v>
      </c>
      <c r="EL19" s="1443">
        <v>91</v>
      </c>
      <c r="EM19" s="1443">
        <v>69159</v>
      </c>
      <c r="EN19" s="1432"/>
      <c r="EO19" s="1433"/>
    </row>
  </sheetData>
  <sheetProtection/>
  <mergeCells count="27">
    <mergeCell ref="CT3:CY3"/>
    <mergeCell ref="BP3:BU3"/>
    <mergeCell ref="N3:S3"/>
    <mergeCell ref="T3:Y3"/>
    <mergeCell ref="Z3:AE3"/>
    <mergeCell ref="AF3:AK3"/>
    <mergeCell ref="AL3:AQ3"/>
    <mergeCell ref="DX3:EC3"/>
    <mergeCell ref="DF3:DK3"/>
    <mergeCell ref="AR3:AW3"/>
    <mergeCell ref="AX3:BC3"/>
    <mergeCell ref="BD3:BI3"/>
    <mergeCell ref="BJ3:BO3"/>
    <mergeCell ref="BV3:CA3"/>
    <mergeCell ref="CB3:CG3"/>
    <mergeCell ref="CH3:CM3"/>
    <mergeCell ref="CN3:CS3"/>
    <mergeCell ref="ED3:EI3"/>
    <mergeCell ref="EJ3:EO3"/>
    <mergeCell ref="A1:EO1"/>
    <mergeCell ref="A2:EO2"/>
    <mergeCell ref="A3:A4"/>
    <mergeCell ref="B3:G3"/>
    <mergeCell ref="H3:M3"/>
    <mergeCell ref="CZ3:DE3"/>
    <mergeCell ref="DL3:DQ3"/>
    <mergeCell ref="DR3:DW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A14"/>
  <sheetViews>
    <sheetView zoomScalePageLayoutView="0" workbookViewId="0" topLeftCell="A1">
      <pane xSplit="1" topLeftCell="CO1" activePane="topRight" state="frozen"/>
      <selection pane="topLeft" activeCell="A1" sqref="A1"/>
      <selection pane="topRight" activeCell="CY21" sqref="CY21"/>
    </sheetView>
  </sheetViews>
  <sheetFormatPr defaultColWidth="9.140625" defaultRowHeight="15"/>
  <cols>
    <col min="1" max="1" width="30.140625" style="0" customWidth="1"/>
    <col min="2" max="2" width="11.7109375" style="0" bestFit="1" customWidth="1"/>
    <col min="3" max="3" width="11.421875" style="0" bestFit="1" customWidth="1"/>
    <col min="4" max="4" width="12.421875" style="0" bestFit="1" customWidth="1"/>
    <col min="5" max="5" width="13.28125" style="0" bestFit="1" customWidth="1"/>
    <col min="6" max="7" width="11.7109375" style="0" bestFit="1" customWidth="1"/>
    <col min="8" max="9" width="12.8515625" style="0" bestFit="1" customWidth="1"/>
    <col min="10" max="11" width="11.421875" style="0" bestFit="1" customWidth="1"/>
    <col min="12" max="12" width="12.421875" style="0" bestFit="1" customWidth="1"/>
    <col min="13" max="13" width="13.28125" style="0" bestFit="1" customWidth="1"/>
    <col min="14" max="15" width="11.421875" style="0" bestFit="1" customWidth="1"/>
    <col min="16" max="16" width="12.421875" style="0" bestFit="1" customWidth="1"/>
    <col min="17" max="17" width="13.28125" style="0" bestFit="1" customWidth="1"/>
    <col min="18" max="19" width="11.421875" style="0" bestFit="1" customWidth="1"/>
    <col min="20" max="20" width="12.421875" style="0" bestFit="1" customWidth="1"/>
    <col min="21" max="21" width="13.28125" style="0" bestFit="1" customWidth="1"/>
    <col min="22" max="23" width="11.421875" style="0" bestFit="1" customWidth="1"/>
    <col min="24" max="24" width="12.421875" style="0" bestFit="1" customWidth="1"/>
    <col min="25" max="25" width="13.28125" style="0" bestFit="1" customWidth="1"/>
    <col min="26" max="27" width="11.421875" style="0" bestFit="1" customWidth="1"/>
    <col min="28" max="28" width="12.421875" style="0" bestFit="1" customWidth="1"/>
    <col min="29" max="29" width="13.28125" style="0" bestFit="1" customWidth="1"/>
    <col min="30" max="31" width="11.421875" style="0" bestFit="1" customWidth="1"/>
    <col min="32" max="32" width="12.421875" style="0" bestFit="1" customWidth="1"/>
    <col min="33" max="33" width="13.28125" style="0" bestFit="1" customWidth="1"/>
    <col min="34" max="35" width="11.421875" style="0" bestFit="1" customWidth="1"/>
    <col min="36" max="36" width="12.421875" style="0" bestFit="1" customWidth="1"/>
    <col min="37" max="37" width="13.28125" style="0" bestFit="1" customWidth="1"/>
    <col min="38" max="39" width="8.140625" style="0" customWidth="1"/>
    <col min="40" max="40" width="9.00390625" style="0" customWidth="1"/>
    <col min="41" max="41" width="13.28125" style="0" bestFit="1" customWidth="1"/>
    <col min="42" max="43" width="11.421875" style="0" bestFit="1" customWidth="1"/>
    <col min="44" max="44" width="12.421875" style="0" bestFit="1" customWidth="1"/>
    <col min="45" max="45" width="13.28125" style="0" bestFit="1" customWidth="1"/>
    <col min="46" max="47" width="11.421875" style="0" bestFit="1" customWidth="1"/>
    <col min="48" max="48" width="12.421875" style="0" bestFit="1" customWidth="1"/>
    <col min="49" max="49" width="13.28125" style="0" customWidth="1"/>
    <col min="50" max="51" width="11.421875" style="0" bestFit="1" customWidth="1"/>
    <col min="52" max="52" width="12.421875" style="0" bestFit="1" customWidth="1"/>
    <col min="53" max="53" width="13.28125" style="0" bestFit="1" customWidth="1"/>
    <col min="54" max="55" width="11.421875" style="0" bestFit="1" customWidth="1"/>
    <col min="56" max="56" width="12.421875" style="0" bestFit="1" customWidth="1"/>
    <col min="57" max="57" width="13.28125" style="0" bestFit="1" customWidth="1"/>
    <col min="58" max="59" width="11.421875" style="0" bestFit="1" customWidth="1"/>
    <col min="60" max="60" width="12.421875" style="0" bestFit="1" customWidth="1"/>
    <col min="61" max="61" width="13.28125" style="0" bestFit="1" customWidth="1"/>
    <col min="62" max="63" width="11.421875" style="0" bestFit="1" customWidth="1"/>
    <col min="64" max="64" width="12.421875" style="0" bestFit="1" customWidth="1"/>
    <col min="65" max="65" width="13.28125" style="0" bestFit="1" customWidth="1"/>
    <col min="66" max="67" width="11.421875" style="0" customWidth="1"/>
    <col min="68" max="68" width="12.421875" style="0" bestFit="1" customWidth="1"/>
    <col min="69" max="69" width="13.28125" style="0" bestFit="1" customWidth="1"/>
    <col min="70" max="71" width="11.421875" style="0" bestFit="1" customWidth="1"/>
    <col min="72" max="72" width="12.421875" style="0" bestFit="1" customWidth="1"/>
    <col min="73" max="73" width="13.28125" style="0" bestFit="1" customWidth="1"/>
    <col min="74" max="75" width="11.421875" style="0" bestFit="1" customWidth="1"/>
    <col min="76" max="76" width="12.421875" style="0" bestFit="1" customWidth="1"/>
    <col min="77" max="77" width="13.28125" style="0" bestFit="1" customWidth="1"/>
    <col min="78" max="79" width="11.421875" style="0" customWidth="1"/>
    <col min="80" max="80" width="12.421875" style="0" bestFit="1" customWidth="1"/>
    <col min="81" max="81" width="13.28125" style="0" bestFit="1" customWidth="1"/>
    <col min="82" max="83" width="11.421875" style="0" bestFit="1" customWidth="1"/>
    <col min="84" max="84" width="12.421875" style="0" bestFit="1" customWidth="1"/>
    <col min="85" max="85" width="13.28125" style="0" bestFit="1" customWidth="1"/>
    <col min="86" max="87" width="11.421875" style="0" bestFit="1" customWidth="1"/>
    <col min="88" max="88" width="12.421875" style="0" bestFit="1" customWidth="1"/>
    <col min="89" max="89" width="13.28125" style="0" bestFit="1" customWidth="1"/>
    <col min="90" max="90" width="9.8515625" style="0" customWidth="1"/>
    <col min="91" max="91" width="11.421875" style="0" bestFit="1" customWidth="1"/>
    <col min="92" max="92" width="12.421875" style="0" bestFit="1" customWidth="1"/>
    <col min="93" max="93" width="11.28125" style="0" customWidth="1"/>
    <col min="94" max="95" width="11.421875" style="0" bestFit="1" customWidth="1"/>
    <col min="96" max="96" width="12.421875" style="0" bestFit="1" customWidth="1"/>
    <col min="97" max="97" width="13.28125" style="0" bestFit="1" customWidth="1"/>
    <col min="98" max="99" width="11.421875" style="0" bestFit="1" customWidth="1"/>
    <col min="100" max="100" width="12.421875" style="0" bestFit="1" customWidth="1"/>
    <col min="101" max="101" width="13.28125" style="0" bestFit="1" customWidth="1"/>
    <col min="102" max="103" width="11.421875" style="0" bestFit="1" customWidth="1"/>
    <col min="104" max="104" width="12.421875" style="0" bestFit="1" customWidth="1"/>
    <col min="105" max="105" width="13.28125" style="0" bestFit="1" customWidth="1"/>
  </cols>
  <sheetData>
    <row r="1" spans="1:103" s="157" customFormat="1" ht="18">
      <c r="A1" s="1680" t="s">
        <v>61</v>
      </c>
      <c r="B1" s="1680"/>
      <c r="C1" s="1680"/>
      <c r="D1" s="1680"/>
      <c r="E1" s="1680"/>
      <c r="F1" s="1680"/>
      <c r="G1" s="1680"/>
      <c r="H1" s="1680"/>
      <c r="I1" s="1680"/>
      <c r="J1" s="1680"/>
      <c r="K1" s="1680"/>
      <c r="L1" s="1680"/>
      <c r="M1" s="1680"/>
      <c r="N1" s="1680"/>
      <c r="O1" s="1680"/>
      <c r="P1" s="1680"/>
      <c r="Q1" s="1680"/>
      <c r="R1" s="1680"/>
      <c r="S1" s="1680"/>
      <c r="T1" s="1680"/>
      <c r="U1" s="1680"/>
      <c r="V1" s="1680"/>
      <c r="W1" s="1680"/>
      <c r="X1" s="1680"/>
      <c r="Y1" s="1680"/>
      <c r="Z1" s="1680"/>
      <c r="AA1" s="1680"/>
      <c r="AB1" s="1680"/>
      <c r="AC1" s="1680"/>
      <c r="AD1" s="1680"/>
      <c r="AE1" s="1680"/>
      <c r="AF1" s="1680"/>
      <c r="AG1" s="1680"/>
      <c r="AH1" s="1680"/>
      <c r="AI1" s="1680"/>
      <c r="AJ1" s="1680"/>
      <c r="AK1" s="1680"/>
      <c r="AL1" s="1680"/>
      <c r="AM1" s="1680"/>
      <c r="AN1" s="1680"/>
      <c r="AO1" s="1680"/>
      <c r="AP1" s="1680"/>
      <c r="AQ1" s="1680"/>
      <c r="AR1" s="1680"/>
      <c r="AS1" s="1680"/>
      <c r="AT1" s="1680"/>
      <c r="AU1" s="1680"/>
      <c r="AV1" s="1680"/>
      <c r="AW1" s="1680"/>
      <c r="AX1" s="1680"/>
      <c r="AY1" s="1680"/>
      <c r="AZ1" s="1680"/>
      <c r="BA1" s="1680"/>
      <c r="BB1" s="1680"/>
      <c r="BC1" s="1680"/>
      <c r="BD1" s="1680"/>
      <c r="BE1" s="1680"/>
      <c r="BF1" s="1680"/>
      <c r="BG1" s="1680"/>
      <c r="BH1" s="1680"/>
      <c r="BI1" s="1680"/>
      <c r="BJ1" s="1680"/>
      <c r="BK1" s="1680"/>
      <c r="BL1" s="1680"/>
      <c r="BM1" s="1680"/>
      <c r="BN1" s="1680"/>
      <c r="BO1" s="1680"/>
      <c r="BP1" s="1680"/>
      <c r="BQ1" s="1680"/>
      <c r="BR1" s="1680"/>
      <c r="BS1" s="1680"/>
      <c r="BT1" s="1680"/>
      <c r="BU1" s="1680"/>
      <c r="BV1" s="1680"/>
      <c r="BW1" s="1680"/>
      <c r="BX1" s="1680"/>
      <c r="BY1" s="1680"/>
      <c r="BZ1" s="1680"/>
      <c r="CA1" s="1680"/>
      <c r="CB1" s="1680"/>
      <c r="CC1" s="1680"/>
      <c r="CD1" s="1680"/>
      <c r="CE1" s="1680"/>
      <c r="CF1" s="1680"/>
      <c r="CG1" s="1680"/>
      <c r="CH1" s="1680"/>
      <c r="CI1" s="1680"/>
      <c r="CJ1" s="1680"/>
      <c r="CK1" s="1680"/>
      <c r="CL1" s="1680"/>
      <c r="CM1" s="1680"/>
      <c r="CN1" s="1680"/>
      <c r="CO1" s="1680"/>
      <c r="CP1" s="1680"/>
      <c r="CQ1" s="1680"/>
      <c r="CR1" s="1680"/>
      <c r="CS1" s="1680"/>
      <c r="CT1" s="1680"/>
      <c r="CU1" s="1680"/>
      <c r="CV1" s="1680"/>
      <c r="CW1" s="1680"/>
      <c r="CX1" s="1680"/>
      <c r="CY1" s="1680"/>
    </row>
    <row r="2" spans="1:103" s="1018" customFormat="1" ht="17.25" thickBot="1">
      <c r="A2" s="1707" t="s">
        <v>62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  <c r="L2" s="1707"/>
      <c r="M2" s="1707"/>
      <c r="N2" s="1707"/>
      <c r="O2" s="1707"/>
      <c r="P2" s="1707"/>
      <c r="Q2" s="1707"/>
      <c r="R2" s="1707"/>
      <c r="S2" s="1707"/>
      <c r="T2" s="1707"/>
      <c r="U2" s="1707"/>
      <c r="V2" s="1707"/>
      <c r="W2" s="1707"/>
      <c r="X2" s="1707"/>
      <c r="Y2" s="1707"/>
      <c r="Z2" s="1707"/>
      <c r="AA2" s="1707"/>
      <c r="AB2" s="1707"/>
      <c r="AC2" s="1707"/>
      <c r="AD2" s="1707"/>
      <c r="AE2" s="1707"/>
      <c r="AF2" s="1707"/>
      <c r="AG2" s="1707"/>
      <c r="AH2" s="1707"/>
      <c r="AI2" s="1707"/>
      <c r="AJ2" s="1707"/>
      <c r="AK2" s="1707"/>
      <c r="AL2" s="1707"/>
      <c r="AM2" s="1707"/>
      <c r="AN2" s="1707"/>
      <c r="AO2" s="1707"/>
      <c r="AP2" s="1707"/>
      <c r="AQ2" s="1707"/>
      <c r="AR2" s="1707"/>
      <c r="AS2" s="1707"/>
      <c r="AT2" s="1707"/>
      <c r="AU2" s="1707"/>
      <c r="AV2" s="1707"/>
      <c r="AW2" s="1707"/>
      <c r="AX2" s="1707"/>
      <c r="AY2" s="1707"/>
      <c r="AZ2" s="1707"/>
      <c r="BA2" s="1707"/>
      <c r="BB2" s="1707"/>
      <c r="BC2" s="1707"/>
      <c r="BD2" s="1707"/>
      <c r="BE2" s="1707"/>
      <c r="BF2" s="1707"/>
      <c r="BG2" s="1707"/>
      <c r="BH2" s="1707"/>
      <c r="BI2" s="1707"/>
      <c r="BJ2" s="1707"/>
      <c r="BK2" s="1707"/>
      <c r="BL2" s="1707"/>
      <c r="BM2" s="1707"/>
      <c r="BN2" s="1707"/>
      <c r="BO2" s="1707"/>
      <c r="BP2" s="1707"/>
      <c r="BQ2" s="1707"/>
      <c r="BR2" s="1707"/>
      <c r="BS2" s="1707"/>
      <c r="BT2" s="1707"/>
      <c r="BU2" s="1707"/>
      <c r="BV2" s="1707"/>
      <c r="BW2" s="1707"/>
      <c r="BX2" s="1707"/>
      <c r="BY2" s="1707"/>
      <c r="BZ2" s="1707"/>
      <c r="CA2" s="1707"/>
      <c r="CB2" s="1707"/>
      <c r="CC2" s="1707"/>
      <c r="CD2" s="1707"/>
      <c r="CE2" s="1707"/>
      <c r="CF2" s="1707"/>
      <c r="CG2" s="1707"/>
      <c r="CH2" s="1707"/>
      <c r="CI2" s="1707"/>
      <c r="CJ2" s="1707"/>
      <c r="CK2" s="1707"/>
      <c r="CL2" s="1707"/>
      <c r="CM2" s="1707"/>
      <c r="CN2" s="1707"/>
      <c r="CO2" s="1707"/>
      <c r="CP2" s="1707"/>
      <c r="CQ2" s="1707"/>
      <c r="CR2" s="1707"/>
      <c r="CS2" s="1707"/>
      <c r="CT2" s="1707"/>
      <c r="CU2" s="1707"/>
      <c r="CV2" s="1707"/>
      <c r="CW2" s="1707"/>
      <c r="CX2" s="1707"/>
      <c r="CY2" s="1707"/>
    </row>
    <row r="3" spans="1:105" s="157" customFormat="1" ht="16.5">
      <c r="A3" s="1708" t="s">
        <v>0</v>
      </c>
      <c r="B3" s="1710" t="s">
        <v>190</v>
      </c>
      <c r="C3" s="1711"/>
      <c r="D3" s="1711"/>
      <c r="E3" s="1712"/>
      <c r="F3" s="1703" t="s">
        <v>191</v>
      </c>
      <c r="G3" s="1703"/>
      <c r="H3" s="1703"/>
      <c r="I3" s="1703"/>
      <c r="J3" s="1716" t="s">
        <v>192</v>
      </c>
      <c r="K3" s="1703"/>
      <c r="L3" s="1703"/>
      <c r="M3" s="1704"/>
      <c r="N3" s="1716" t="s">
        <v>193</v>
      </c>
      <c r="O3" s="1703"/>
      <c r="P3" s="1703"/>
      <c r="Q3" s="1704"/>
      <c r="R3" s="1703" t="s">
        <v>194</v>
      </c>
      <c r="S3" s="1703"/>
      <c r="T3" s="1703"/>
      <c r="U3" s="1703"/>
      <c r="V3" s="1716" t="s">
        <v>195</v>
      </c>
      <c r="W3" s="1703"/>
      <c r="X3" s="1703"/>
      <c r="Y3" s="1704"/>
      <c r="Z3" s="1716" t="s">
        <v>196</v>
      </c>
      <c r="AA3" s="1703"/>
      <c r="AB3" s="1703"/>
      <c r="AC3" s="1704"/>
      <c r="AD3" s="1716" t="s">
        <v>197</v>
      </c>
      <c r="AE3" s="1703"/>
      <c r="AF3" s="1703"/>
      <c r="AG3" s="1704"/>
      <c r="AH3" s="1716" t="s">
        <v>198</v>
      </c>
      <c r="AI3" s="1703"/>
      <c r="AJ3" s="1703"/>
      <c r="AK3" s="1704"/>
      <c r="AL3" s="1716" t="s">
        <v>199</v>
      </c>
      <c r="AM3" s="1703"/>
      <c r="AN3" s="1703"/>
      <c r="AO3" s="1704"/>
      <c r="AP3" s="1716" t="s">
        <v>200</v>
      </c>
      <c r="AQ3" s="1703"/>
      <c r="AR3" s="1703"/>
      <c r="AS3" s="1704"/>
      <c r="AT3" s="1703" t="s">
        <v>201</v>
      </c>
      <c r="AU3" s="1703"/>
      <c r="AV3" s="1703"/>
      <c r="AW3" s="1704"/>
      <c r="AX3" s="1703" t="s">
        <v>202</v>
      </c>
      <c r="AY3" s="1703"/>
      <c r="AZ3" s="1703"/>
      <c r="BA3" s="1704"/>
      <c r="BB3" s="1703" t="s">
        <v>203</v>
      </c>
      <c r="BC3" s="1703"/>
      <c r="BD3" s="1703"/>
      <c r="BE3" s="1704"/>
      <c r="BF3" s="1705" t="s">
        <v>204</v>
      </c>
      <c r="BG3" s="1705"/>
      <c r="BH3" s="1705"/>
      <c r="BI3" s="1706"/>
      <c r="BJ3" s="1703" t="s">
        <v>205</v>
      </c>
      <c r="BK3" s="1703"/>
      <c r="BL3" s="1703"/>
      <c r="BM3" s="1704"/>
      <c r="BN3" s="1703" t="s">
        <v>206</v>
      </c>
      <c r="BO3" s="1703"/>
      <c r="BP3" s="1703"/>
      <c r="BQ3" s="1704"/>
      <c r="BR3" s="1703" t="s">
        <v>207</v>
      </c>
      <c r="BS3" s="1703"/>
      <c r="BT3" s="1703"/>
      <c r="BU3" s="1704"/>
      <c r="BV3" s="1705" t="s">
        <v>208</v>
      </c>
      <c r="BW3" s="1705"/>
      <c r="BX3" s="1705"/>
      <c r="BY3" s="1706"/>
      <c r="BZ3" s="1703" t="s">
        <v>209</v>
      </c>
      <c r="CA3" s="1703"/>
      <c r="CB3" s="1703"/>
      <c r="CC3" s="1704"/>
      <c r="CD3" s="1703" t="s">
        <v>210</v>
      </c>
      <c r="CE3" s="1703"/>
      <c r="CF3" s="1703"/>
      <c r="CG3" s="1704"/>
      <c r="CH3" s="1703" t="s">
        <v>211</v>
      </c>
      <c r="CI3" s="1703"/>
      <c r="CJ3" s="1703"/>
      <c r="CK3" s="1704"/>
      <c r="CL3" s="1703" t="s">
        <v>212</v>
      </c>
      <c r="CM3" s="1703"/>
      <c r="CN3" s="1703"/>
      <c r="CO3" s="1704"/>
      <c r="CP3" s="1703" t="s">
        <v>1</v>
      </c>
      <c r="CQ3" s="1703"/>
      <c r="CR3" s="1703"/>
      <c r="CS3" s="1704"/>
      <c r="CT3" s="1705" t="s">
        <v>213</v>
      </c>
      <c r="CU3" s="1705"/>
      <c r="CV3" s="1705"/>
      <c r="CW3" s="1706"/>
      <c r="CX3" s="1713" t="s">
        <v>2</v>
      </c>
      <c r="CY3" s="1714"/>
      <c r="CZ3" s="1714"/>
      <c r="DA3" s="1715"/>
    </row>
    <row r="4" spans="1:105" s="1021" customFormat="1" ht="15.75" thickBot="1">
      <c r="A4" s="1709"/>
      <c r="B4" s="1019" t="s">
        <v>285</v>
      </c>
      <c r="C4" s="1020" t="s">
        <v>286</v>
      </c>
      <c r="D4" s="1020" t="s">
        <v>287</v>
      </c>
      <c r="E4" s="1017" t="s">
        <v>288</v>
      </c>
      <c r="F4" s="1020" t="s">
        <v>285</v>
      </c>
      <c r="G4" s="1020" t="s">
        <v>286</v>
      </c>
      <c r="H4" s="1020" t="s">
        <v>287</v>
      </c>
      <c r="I4" s="1020" t="s">
        <v>288</v>
      </c>
      <c r="J4" s="1019" t="s">
        <v>285</v>
      </c>
      <c r="K4" s="1020" t="s">
        <v>286</v>
      </c>
      <c r="L4" s="1020" t="s">
        <v>287</v>
      </c>
      <c r="M4" s="1017" t="s">
        <v>288</v>
      </c>
      <c r="N4" s="1019" t="s">
        <v>285</v>
      </c>
      <c r="O4" s="1020" t="s">
        <v>286</v>
      </c>
      <c r="P4" s="1020" t="s">
        <v>287</v>
      </c>
      <c r="Q4" s="1017" t="s">
        <v>288</v>
      </c>
      <c r="R4" s="1020" t="s">
        <v>285</v>
      </c>
      <c r="S4" s="1020" t="s">
        <v>286</v>
      </c>
      <c r="T4" s="1020" t="s">
        <v>287</v>
      </c>
      <c r="U4" s="1020" t="s">
        <v>288</v>
      </c>
      <c r="V4" s="1019" t="s">
        <v>285</v>
      </c>
      <c r="W4" s="1020" t="s">
        <v>286</v>
      </c>
      <c r="X4" s="1020" t="s">
        <v>287</v>
      </c>
      <c r="Y4" s="1017" t="s">
        <v>288</v>
      </c>
      <c r="Z4" s="1019" t="s">
        <v>285</v>
      </c>
      <c r="AA4" s="1020" t="s">
        <v>286</v>
      </c>
      <c r="AB4" s="1020" t="s">
        <v>287</v>
      </c>
      <c r="AC4" s="1017" t="s">
        <v>288</v>
      </c>
      <c r="AD4" s="1019" t="s">
        <v>285</v>
      </c>
      <c r="AE4" s="1020" t="s">
        <v>286</v>
      </c>
      <c r="AF4" s="1020" t="s">
        <v>287</v>
      </c>
      <c r="AG4" s="1017" t="s">
        <v>288</v>
      </c>
      <c r="AH4" s="1019" t="s">
        <v>285</v>
      </c>
      <c r="AI4" s="1020" t="s">
        <v>286</v>
      </c>
      <c r="AJ4" s="1020" t="s">
        <v>287</v>
      </c>
      <c r="AK4" s="1017" t="s">
        <v>288</v>
      </c>
      <c r="AL4" s="1019" t="s">
        <v>285</v>
      </c>
      <c r="AM4" s="1020" t="s">
        <v>286</v>
      </c>
      <c r="AN4" s="1020" t="s">
        <v>287</v>
      </c>
      <c r="AO4" s="1017" t="s">
        <v>288</v>
      </c>
      <c r="AP4" s="1019" t="s">
        <v>285</v>
      </c>
      <c r="AQ4" s="1020" t="s">
        <v>286</v>
      </c>
      <c r="AR4" s="1020" t="s">
        <v>287</v>
      </c>
      <c r="AS4" s="1017" t="s">
        <v>288</v>
      </c>
      <c r="AT4" s="983" t="s">
        <v>285</v>
      </c>
      <c r="AU4" s="983" t="s">
        <v>286</v>
      </c>
      <c r="AV4" s="983" t="s">
        <v>287</v>
      </c>
      <c r="AW4" s="984" t="s">
        <v>288</v>
      </c>
      <c r="AX4" s="983" t="s">
        <v>285</v>
      </c>
      <c r="AY4" s="983" t="s">
        <v>286</v>
      </c>
      <c r="AZ4" s="983" t="s">
        <v>287</v>
      </c>
      <c r="BA4" s="984" t="s">
        <v>288</v>
      </c>
      <c r="BB4" s="1020" t="s">
        <v>285</v>
      </c>
      <c r="BC4" s="1020" t="s">
        <v>286</v>
      </c>
      <c r="BD4" s="1020" t="s">
        <v>287</v>
      </c>
      <c r="BE4" s="1017" t="s">
        <v>288</v>
      </c>
      <c r="BF4" s="1020" t="s">
        <v>285</v>
      </c>
      <c r="BG4" s="1020" t="s">
        <v>286</v>
      </c>
      <c r="BH4" s="1020" t="s">
        <v>287</v>
      </c>
      <c r="BI4" s="1017" t="s">
        <v>288</v>
      </c>
      <c r="BJ4" s="983" t="s">
        <v>285</v>
      </c>
      <c r="BK4" s="983" t="s">
        <v>286</v>
      </c>
      <c r="BL4" s="983" t="s">
        <v>287</v>
      </c>
      <c r="BM4" s="984" t="s">
        <v>288</v>
      </c>
      <c r="BN4" s="983" t="s">
        <v>285</v>
      </c>
      <c r="BO4" s="983" t="s">
        <v>286</v>
      </c>
      <c r="BP4" s="983" t="s">
        <v>287</v>
      </c>
      <c r="BQ4" s="984" t="s">
        <v>288</v>
      </c>
      <c r="BR4" s="1020" t="s">
        <v>285</v>
      </c>
      <c r="BS4" s="1020" t="s">
        <v>286</v>
      </c>
      <c r="BT4" s="1020" t="s">
        <v>287</v>
      </c>
      <c r="BU4" s="1017" t="s">
        <v>288</v>
      </c>
      <c r="BV4" s="983" t="s">
        <v>285</v>
      </c>
      <c r="BW4" s="983" t="s">
        <v>286</v>
      </c>
      <c r="BX4" s="983" t="s">
        <v>287</v>
      </c>
      <c r="BY4" s="984" t="s">
        <v>288</v>
      </c>
      <c r="BZ4" s="983" t="s">
        <v>285</v>
      </c>
      <c r="CA4" s="983" t="s">
        <v>286</v>
      </c>
      <c r="CB4" s="983" t="s">
        <v>287</v>
      </c>
      <c r="CC4" s="984" t="s">
        <v>288</v>
      </c>
      <c r="CD4" s="1020" t="s">
        <v>285</v>
      </c>
      <c r="CE4" s="1020" t="s">
        <v>286</v>
      </c>
      <c r="CF4" s="1020" t="s">
        <v>287</v>
      </c>
      <c r="CG4" s="1017" t="s">
        <v>288</v>
      </c>
      <c r="CH4" s="983" t="s">
        <v>285</v>
      </c>
      <c r="CI4" s="983" t="s">
        <v>286</v>
      </c>
      <c r="CJ4" s="983" t="s">
        <v>287</v>
      </c>
      <c r="CK4" s="984" t="s">
        <v>288</v>
      </c>
      <c r="CL4" s="983" t="s">
        <v>285</v>
      </c>
      <c r="CM4" s="983" t="s">
        <v>286</v>
      </c>
      <c r="CN4" s="983" t="s">
        <v>287</v>
      </c>
      <c r="CO4" s="984" t="s">
        <v>288</v>
      </c>
      <c r="CP4" s="1020" t="s">
        <v>285</v>
      </c>
      <c r="CQ4" s="1020" t="s">
        <v>286</v>
      </c>
      <c r="CR4" s="1020" t="s">
        <v>287</v>
      </c>
      <c r="CS4" s="1017" t="s">
        <v>288</v>
      </c>
      <c r="CT4" s="1020" t="s">
        <v>285</v>
      </c>
      <c r="CU4" s="1020" t="s">
        <v>286</v>
      </c>
      <c r="CV4" s="1020" t="s">
        <v>287</v>
      </c>
      <c r="CW4" s="1017" t="s">
        <v>288</v>
      </c>
      <c r="CX4" s="1020" t="s">
        <v>285</v>
      </c>
      <c r="CY4" s="1020" t="s">
        <v>286</v>
      </c>
      <c r="CZ4" s="1020" t="s">
        <v>287</v>
      </c>
      <c r="DA4" s="1017" t="s">
        <v>288</v>
      </c>
    </row>
    <row r="5" spans="1:105" s="162" customFormat="1" ht="14.25">
      <c r="A5" s="839" t="s">
        <v>24</v>
      </c>
      <c r="B5" s="268"/>
      <c r="C5" s="269"/>
      <c r="D5" s="269"/>
      <c r="E5" s="270"/>
      <c r="F5" s="271"/>
      <c r="G5" s="269"/>
      <c r="H5" s="269"/>
      <c r="I5" s="275"/>
      <c r="J5" s="268"/>
      <c r="K5" s="269"/>
      <c r="L5" s="269"/>
      <c r="M5" s="270"/>
      <c r="N5" s="268"/>
      <c r="O5" s="269"/>
      <c r="P5" s="269"/>
      <c r="Q5" s="270"/>
      <c r="R5" s="271"/>
      <c r="S5" s="269"/>
      <c r="T5" s="269"/>
      <c r="U5" s="275"/>
      <c r="V5" s="268"/>
      <c r="W5" s="269"/>
      <c r="X5" s="269"/>
      <c r="Y5" s="270"/>
      <c r="Z5" s="268"/>
      <c r="AA5" s="269"/>
      <c r="AB5" s="269"/>
      <c r="AC5" s="270"/>
      <c r="AD5" s="268"/>
      <c r="AE5" s="269"/>
      <c r="AF5" s="269"/>
      <c r="AG5" s="270"/>
      <c r="AH5" s="268"/>
      <c r="AI5" s="269"/>
      <c r="AJ5" s="269"/>
      <c r="AK5" s="270"/>
      <c r="AL5" s="268"/>
      <c r="AM5" s="269"/>
      <c r="AN5" s="269"/>
      <c r="AO5" s="270"/>
      <c r="AP5" s="276"/>
      <c r="AQ5" s="274"/>
      <c r="AR5" s="274"/>
      <c r="AS5" s="277"/>
      <c r="AT5" s="362"/>
      <c r="AU5" s="363"/>
      <c r="AV5" s="363"/>
      <c r="AW5" s="1449"/>
      <c r="AX5" s="362"/>
      <c r="AY5" s="363"/>
      <c r="AZ5" s="363"/>
      <c r="BA5" s="364"/>
      <c r="BB5" s="271"/>
      <c r="BC5" s="269"/>
      <c r="BD5" s="269"/>
      <c r="BE5" s="270"/>
      <c r="BF5" s="271"/>
      <c r="BG5" s="269"/>
      <c r="BH5" s="269"/>
      <c r="BI5" s="275"/>
      <c r="BJ5" s="362"/>
      <c r="BK5" s="363"/>
      <c r="BL5" s="363"/>
      <c r="BM5" s="1449"/>
      <c r="BN5" s="362"/>
      <c r="BO5" s="363"/>
      <c r="BP5" s="363"/>
      <c r="BQ5" s="364"/>
      <c r="BR5" s="271"/>
      <c r="BS5" s="269"/>
      <c r="BT5" s="269"/>
      <c r="BU5" s="275"/>
      <c r="BV5" s="362"/>
      <c r="BW5" s="363"/>
      <c r="BX5" s="363"/>
      <c r="BY5" s="1449"/>
      <c r="BZ5" s="362"/>
      <c r="CA5" s="363"/>
      <c r="CB5" s="363"/>
      <c r="CC5" s="364"/>
      <c r="CD5" s="271"/>
      <c r="CE5" s="269"/>
      <c r="CF5" s="269"/>
      <c r="CG5" s="275"/>
      <c r="CH5" s="362"/>
      <c r="CI5" s="363"/>
      <c r="CJ5" s="363"/>
      <c r="CK5" s="1449"/>
      <c r="CL5" s="362"/>
      <c r="CM5" s="363"/>
      <c r="CN5" s="363"/>
      <c r="CO5" s="364"/>
      <c r="CP5" s="271"/>
      <c r="CQ5" s="275"/>
      <c r="CR5" s="840"/>
      <c r="CS5" s="841"/>
      <c r="CT5" s="271"/>
      <c r="CU5" s="269"/>
      <c r="CV5" s="269"/>
      <c r="CW5" s="270"/>
      <c r="CX5" s="271"/>
      <c r="CY5" s="269"/>
      <c r="CZ5" s="842"/>
      <c r="DA5" s="843"/>
    </row>
    <row r="6" spans="1:105" s="162" customFormat="1" ht="14.25">
      <c r="A6" s="158" t="s">
        <v>25</v>
      </c>
      <c r="B6" s="205"/>
      <c r="C6" s="163"/>
      <c r="D6" s="163"/>
      <c r="E6" s="164"/>
      <c r="F6" s="206"/>
      <c r="G6" s="166"/>
      <c r="H6" s="166"/>
      <c r="I6" s="168"/>
      <c r="J6" s="165"/>
      <c r="K6" s="166"/>
      <c r="L6" s="166"/>
      <c r="M6" s="167"/>
      <c r="N6" s="165"/>
      <c r="O6" s="166"/>
      <c r="P6" s="166"/>
      <c r="Q6" s="167"/>
      <c r="R6" s="206"/>
      <c r="S6" s="166"/>
      <c r="T6" s="166"/>
      <c r="U6" s="168"/>
      <c r="V6" s="165"/>
      <c r="W6" s="166"/>
      <c r="X6" s="166"/>
      <c r="Y6" s="167"/>
      <c r="Z6" s="165"/>
      <c r="AA6" s="166"/>
      <c r="AB6" s="166"/>
      <c r="AC6" s="167"/>
      <c r="AD6" s="165"/>
      <c r="AE6" s="166"/>
      <c r="AF6" s="166"/>
      <c r="AG6" s="167"/>
      <c r="AH6" s="165"/>
      <c r="AI6" s="166"/>
      <c r="AJ6" s="166"/>
      <c r="AK6" s="167"/>
      <c r="AL6" s="165"/>
      <c r="AM6" s="166"/>
      <c r="AN6" s="166"/>
      <c r="AO6" s="167"/>
      <c r="AP6" s="169"/>
      <c r="AQ6" s="170"/>
      <c r="AR6" s="170"/>
      <c r="AS6" s="186"/>
      <c r="AT6" s="165"/>
      <c r="AU6" s="166"/>
      <c r="AV6" s="166"/>
      <c r="AW6" s="168"/>
      <c r="AX6" s="172"/>
      <c r="AY6" s="173"/>
      <c r="AZ6" s="173"/>
      <c r="BA6" s="174"/>
      <c r="BB6" s="206"/>
      <c r="BC6" s="166"/>
      <c r="BD6" s="166"/>
      <c r="BE6" s="167"/>
      <c r="BF6" s="206"/>
      <c r="BG6" s="166"/>
      <c r="BH6" s="166"/>
      <c r="BI6" s="168"/>
      <c r="BJ6" s="165"/>
      <c r="BK6" s="166"/>
      <c r="BL6" s="166"/>
      <c r="BM6" s="168"/>
      <c r="BN6" s="165"/>
      <c r="BO6" s="166"/>
      <c r="BP6" s="166"/>
      <c r="BQ6" s="167"/>
      <c r="BR6" s="206"/>
      <c r="BS6" s="166"/>
      <c r="BT6" s="166"/>
      <c r="BU6" s="168"/>
      <c r="BV6" s="175"/>
      <c r="BW6" s="166"/>
      <c r="BX6" s="166"/>
      <c r="BY6" s="168"/>
      <c r="BZ6" s="1453"/>
      <c r="CA6" s="160"/>
      <c r="CB6" s="160"/>
      <c r="CC6" s="161"/>
      <c r="CD6" s="849"/>
      <c r="CE6" s="176"/>
      <c r="CF6" s="176"/>
      <c r="CG6" s="1456"/>
      <c r="CH6" s="1458"/>
      <c r="CI6" s="177"/>
      <c r="CJ6" s="177"/>
      <c r="CK6" s="1459"/>
      <c r="CL6" s="165"/>
      <c r="CM6" s="166"/>
      <c r="CN6" s="166"/>
      <c r="CO6" s="167"/>
      <c r="CP6" s="220"/>
      <c r="CQ6" s="180"/>
      <c r="CR6" s="181"/>
      <c r="CS6" s="182"/>
      <c r="CT6" s="850"/>
      <c r="CU6" s="177"/>
      <c r="CV6" s="177"/>
      <c r="CW6" s="178"/>
      <c r="CX6" s="220"/>
      <c r="CY6" s="183"/>
      <c r="CZ6" s="166"/>
      <c r="DA6" s="161"/>
    </row>
    <row r="7" spans="1:105" s="162" customFormat="1" ht="14.25">
      <c r="A7" s="158" t="s">
        <v>26</v>
      </c>
      <c r="B7" s="844">
        <v>6776316</v>
      </c>
      <c r="C7" s="184">
        <v>5125348</v>
      </c>
      <c r="D7" s="184">
        <v>18038644</v>
      </c>
      <c r="E7" s="185">
        <v>12571914</v>
      </c>
      <c r="F7" s="207">
        <v>394708</v>
      </c>
      <c r="G7" s="170">
        <v>586440</v>
      </c>
      <c r="H7" s="170">
        <v>1121884</v>
      </c>
      <c r="I7" s="186">
        <v>1355487</v>
      </c>
      <c r="J7" s="169">
        <v>1385198</v>
      </c>
      <c r="K7" s="170">
        <v>1276603</v>
      </c>
      <c r="L7" s="170">
        <v>2724725</v>
      </c>
      <c r="M7" s="171">
        <v>3068073</v>
      </c>
      <c r="N7" s="169">
        <v>6873351</v>
      </c>
      <c r="O7" s="170">
        <v>4743015</v>
      </c>
      <c r="P7" s="170">
        <v>17369555</v>
      </c>
      <c r="Q7" s="171">
        <v>13963897</v>
      </c>
      <c r="R7" s="207">
        <v>1944936</v>
      </c>
      <c r="S7" s="170">
        <v>1742427</v>
      </c>
      <c r="T7" s="170">
        <v>5776540</v>
      </c>
      <c r="U7" s="186">
        <v>4360058</v>
      </c>
      <c r="V7" s="169">
        <v>3516065</v>
      </c>
      <c r="W7" s="170">
        <v>2763460</v>
      </c>
      <c r="X7" s="170">
        <v>9162899</v>
      </c>
      <c r="Y7" s="171">
        <v>8217280</v>
      </c>
      <c r="Z7" s="169">
        <v>634300</v>
      </c>
      <c r="AA7" s="170">
        <v>1105329</v>
      </c>
      <c r="AB7" s="170">
        <v>2973838</v>
      </c>
      <c r="AC7" s="171">
        <v>3217150</v>
      </c>
      <c r="AD7" s="169">
        <v>1602040</v>
      </c>
      <c r="AE7" s="170">
        <v>1389259</v>
      </c>
      <c r="AF7" s="170">
        <v>3901593</v>
      </c>
      <c r="AG7" s="171">
        <v>2819890</v>
      </c>
      <c r="AH7" s="169">
        <v>2716572</v>
      </c>
      <c r="AI7" s="170">
        <v>2609217</v>
      </c>
      <c r="AJ7" s="170">
        <v>7441695</v>
      </c>
      <c r="AK7" s="171">
        <v>7277944</v>
      </c>
      <c r="AL7" s="169">
        <v>2740132</v>
      </c>
      <c r="AM7" s="170">
        <v>1981388</v>
      </c>
      <c r="AN7" s="170">
        <v>6402483</v>
      </c>
      <c r="AO7" s="171">
        <v>5176034</v>
      </c>
      <c r="AP7" s="169">
        <v>17869078</v>
      </c>
      <c r="AQ7" s="170">
        <v>17356019</v>
      </c>
      <c r="AR7" s="170">
        <v>50581083</v>
      </c>
      <c r="AS7" s="186">
        <v>47384564</v>
      </c>
      <c r="AT7" s="169">
        <v>22366364</v>
      </c>
      <c r="AU7" s="170">
        <v>20213186</v>
      </c>
      <c r="AV7" s="170">
        <v>69785341</v>
      </c>
      <c r="AW7" s="186">
        <v>73561906</v>
      </c>
      <c r="AX7" s="169">
        <v>1393519</v>
      </c>
      <c r="AY7" s="190">
        <v>1361211</v>
      </c>
      <c r="AZ7" s="190">
        <v>4257390</v>
      </c>
      <c r="BA7" s="191">
        <v>4165965</v>
      </c>
      <c r="BB7" s="206">
        <v>269.59</v>
      </c>
      <c r="BC7" s="166">
        <v>202.95</v>
      </c>
      <c r="BD7" s="166">
        <v>678.69</v>
      </c>
      <c r="BE7" s="167">
        <v>571.88</v>
      </c>
      <c r="BF7" s="207">
        <v>10815434</v>
      </c>
      <c r="BG7" s="170">
        <v>9632409</v>
      </c>
      <c r="BH7" s="170">
        <v>25340697</v>
      </c>
      <c r="BI7" s="186">
        <v>23146820</v>
      </c>
      <c r="BJ7" s="169">
        <v>16310542</v>
      </c>
      <c r="BK7" s="170">
        <v>13386964</v>
      </c>
      <c r="BL7" s="170">
        <v>38731233</v>
      </c>
      <c r="BM7" s="186">
        <v>31915106</v>
      </c>
      <c r="BN7" s="169">
        <v>5214989</v>
      </c>
      <c r="BO7" s="170">
        <v>4600435</v>
      </c>
      <c r="BP7" s="170">
        <v>14204417</v>
      </c>
      <c r="BQ7" s="171">
        <v>12611007</v>
      </c>
      <c r="BR7" s="207">
        <v>3501139</v>
      </c>
      <c r="BS7" s="170">
        <v>2952212</v>
      </c>
      <c r="BT7" s="170">
        <v>9983499</v>
      </c>
      <c r="BU7" s="186">
        <v>8385919</v>
      </c>
      <c r="BV7" s="175"/>
      <c r="BW7" s="166"/>
      <c r="BX7" s="166"/>
      <c r="BY7" s="168"/>
      <c r="BZ7" s="192">
        <v>28911570</v>
      </c>
      <c r="CA7" s="122">
        <v>25417534</v>
      </c>
      <c r="CB7" s="122">
        <v>90572278</v>
      </c>
      <c r="CC7" s="123">
        <v>81393627</v>
      </c>
      <c r="CD7" s="365">
        <v>1606954</v>
      </c>
      <c r="CE7" s="193">
        <v>1546809</v>
      </c>
      <c r="CF7" s="193">
        <v>4851358</v>
      </c>
      <c r="CG7" s="210">
        <v>4816205</v>
      </c>
      <c r="CH7" s="194">
        <v>2172738</v>
      </c>
      <c r="CI7" s="195">
        <v>2030563</v>
      </c>
      <c r="CJ7" s="195">
        <v>5735857</v>
      </c>
      <c r="CK7" s="211">
        <v>5845309</v>
      </c>
      <c r="CL7" s="169">
        <v>9382189</v>
      </c>
      <c r="CM7" s="170">
        <v>6350713</v>
      </c>
      <c r="CN7" s="170">
        <v>23125666</v>
      </c>
      <c r="CO7" s="171">
        <v>14817692</v>
      </c>
      <c r="CP7" s="212">
        <f>SUM(B7+F7+J7+N7+R7+V7+Z7+AD7+AH7+AL7+AP7+AT7+AX7+BB7+BF7+BJ7+BN7+BR7+BV7+BZ7+CD7+CH7+CL7)</f>
        <v>148128403.59</v>
      </c>
      <c r="CQ7" s="197">
        <f aca="true" t="shared" si="0" ref="CQ7:CS14">SUM(C7+G7+K7+O7+S7+W7+AA7+AE7+AI7+AM7+AQ7+AU7+AY7+BC7+BG7+BK7+BO7+BS7+BW7+CA7+CE7+CI7+CM7)</f>
        <v>128170743.95</v>
      </c>
      <c r="CR7" s="197">
        <f t="shared" si="0"/>
        <v>412083353.69</v>
      </c>
      <c r="CS7" s="198">
        <f t="shared" si="0"/>
        <v>370072418.88</v>
      </c>
      <c r="CT7" s="851">
        <v>125555447</v>
      </c>
      <c r="CU7" s="195">
        <v>99113385</v>
      </c>
      <c r="CV7" s="195">
        <v>313262154</v>
      </c>
      <c r="CW7" s="196">
        <v>281464035</v>
      </c>
      <c r="CX7" s="212">
        <f>CP7+CT7</f>
        <v>273683850.59000003</v>
      </c>
      <c r="CY7" s="197">
        <f aca="true" t="shared" si="1" ref="CY7:DA14">CQ7+CU7</f>
        <v>227284128.95</v>
      </c>
      <c r="CZ7" s="197">
        <f t="shared" si="1"/>
        <v>725345507.69</v>
      </c>
      <c r="DA7" s="198">
        <f t="shared" si="1"/>
        <v>651536453.88</v>
      </c>
    </row>
    <row r="8" spans="1:105" s="162" customFormat="1" ht="14.25">
      <c r="A8" s="158" t="s">
        <v>27</v>
      </c>
      <c r="B8" s="844">
        <v>13469363</v>
      </c>
      <c r="C8" s="184">
        <v>11479558</v>
      </c>
      <c r="D8" s="184">
        <v>35941914</v>
      </c>
      <c r="E8" s="185">
        <v>32402003</v>
      </c>
      <c r="F8" s="207">
        <v>1836718</v>
      </c>
      <c r="G8" s="170">
        <v>1541846</v>
      </c>
      <c r="H8" s="170">
        <v>4512483</v>
      </c>
      <c r="I8" s="186">
        <v>3841586</v>
      </c>
      <c r="J8" s="169">
        <v>3868678</v>
      </c>
      <c r="K8" s="170">
        <v>3964219</v>
      </c>
      <c r="L8" s="170">
        <v>9811214</v>
      </c>
      <c r="M8" s="171">
        <v>10186458</v>
      </c>
      <c r="N8" s="169">
        <v>14717903</v>
      </c>
      <c r="O8" s="170">
        <v>12759711</v>
      </c>
      <c r="P8" s="170">
        <v>39343316</v>
      </c>
      <c r="Q8" s="171">
        <v>32872359</v>
      </c>
      <c r="R8" s="207">
        <v>4225753</v>
      </c>
      <c r="S8" s="170">
        <v>3308369</v>
      </c>
      <c r="T8" s="170">
        <v>11644861</v>
      </c>
      <c r="U8" s="186">
        <v>9535283</v>
      </c>
      <c r="V8" s="169">
        <v>7224701</v>
      </c>
      <c r="W8" s="170">
        <v>5952044</v>
      </c>
      <c r="X8" s="170">
        <v>20302572</v>
      </c>
      <c r="Y8" s="171">
        <v>15533121</v>
      </c>
      <c r="Z8" s="169">
        <v>1982246</v>
      </c>
      <c r="AA8" s="170">
        <v>1345721</v>
      </c>
      <c r="AB8" s="170">
        <v>5958000</v>
      </c>
      <c r="AC8" s="171">
        <v>3887782</v>
      </c>
      <c r="AD8" s="169">
        <v>2216865</v>
      </c>
      <c r="AE8" s="170">
        <v>1441931</v>
      </c>
      <c r="AF8" s="170">
        <v>4634358</v>
      </c>
      <c r="AG8" s="171">
        <v>2957976</v>
      </c>
      <c r="AH8" s="169">
        <v>7886884</v>
      </c>
      <c r="AI8" s="170">
        <v>6634821</v>
      </c>
      <c r="AJ8" s="170">
        <v>20839988</v>
      </c>
      <c r="AK8" s="171">
        <v>17719858</v>
      </c>
      <c r="AL8" s="169">
        <v>2387139</v>
      </c>
      <c r="AM8" s="170">
        <v>1820679</v>
      </c>
      <c r="AN8" s="170">
        <v>5282259</v>
      </c>
      <c r="AO8" s="171">
        <v>4099441</v>
      </c>
      <c r="AP8" s="169">
        <v>52946986</v>
      </c>
      <c r="AQ8" s="170">
        <v>46721727</v>
      </c>
      <c r="AR8" s="170">
        <v>142145723</v>
      </c>
      <c r="AS8" s="186">
        <v>122148040</v>
      </c>
      <c r="AT8" s="169">
        <v>67080215</v>
      </c>
      <c r="AU8" s="170">
        <v>61476142</v>
      </c>
      <c r="AV8" s="170">
        <v>205654188</v>
      </c>
      <c r="AW8" s="186">
        <v>178570181</v>
      </c>
      <c r="AX8" s="169">
        <v>4187825</v>
      </c>
      <c r="AY8" s="190">
        <v>3739750</v>
      </c>
      <c r="AZ8" s="190">
        <v>11258963</v>
      </c>
      <c r="BA8" s="191">
        <v>9502148</v>
      </c>
      <c r="BB8" s="206">
        <v>524.07</v>
      </c>
      <c r="BC8" s="166">
        <v>414.43</v>
      </c>
      <c r="BD8" s="166">
        <v>1139.91</v>
      </c>
      <c r="BE8" s="167">
        <v>812.03</v>
      </c>
      <c r="BF8" s="207">
        <v>18230245</v>
      </c>
      <c r="BG8" s="170">
        <v>13743866</v>
      </c>
      <c r="BH8" s="170">
        <v>41911758</v>
      </c>
      <c r="BI8" s="186">
        <v>31944585</v>
      </c>
      <c r="BJ8" s="169">
        <v>34592177</v>
      </c>
      <c r="BK8" s="170">
        <v>29380105</v>
      </c>
      <c r="BL8" s="170">
        <v>94148222</v>
      </c>
      <c r="BM8" s="186">
        <v>81523014</v>
      </c>
      <c r="BN8" s="169">
        <v>11325916</v>
      </c>
      <c r="BO8" s="170">
        <v>9533162</v>
      </c>
      <c r="BP8" s="170">
        <v>30952977</v>
      </c>
      <c r="BQ8" s="171">
        <v>25264302</v>
      </c>
      <c r="BR8" s="207">
        <v>11544842</v>
      </c>
      <c r="BS8" s="170">
        <v>10761495</v>
      </c>
      <c r="BT8" s="170">
        <v>32909240</v>
      </c>
      <c r="BU8" s="186">
        <v>31537511</v>
      </c>
      <c r="BV8" s="175"/>
      <c r="BW8" s="166"/>
      <c r="BX8" s="166"/>
      <c r="BY8" s="168"/>
      <c r="BZ8" s="192">
        <v>70542627</v>
      </c>
      <c r="CA8" s="122">
        <v>55244414</v>
      </c>
      <c r="CB8" s="122">
        <v>191974386</v>
      </c>
      <c r="CC8" s="123">
        <v>143880515</v>
      </c>
      <c r="CD8" s="365">
        <v>3432014</v>
      </c>
      <c r="CE8" s="193">
        <v>2715207</v>
      </c>
      <c r="CF8" s="193">
        <v>8858833</v>
      </c>
      <c r="CG8" s="210">
        <v>6867038</v>
      </c>
      <c r="CH8" s="194">
        <v>5348868</v>
      </c>
      <c r="CI8" s="195">
        <v>4457930</v>
      </c>
      <c r="CJ8" s="195">
        <v>13175650</v>
      </c>
      <c r="CK8" s="211">
        <v>10822818</v>
      </c>
      <c r="CL8" s="169">
        <v>14664153</v>
      </c>
      <c r="CM8" s="170">
        <v>10526806</v>
      </c>
      <c r="CN8" s="170">
        <v>35932433</v>
      </c>
      <c r="CO8" s="171">
        <v>26745329</v>
      </c>
      <c r="CP8" s="212">
        <f aca="true" t="shared" si="2" ref="CP8:CP14">SUM(B8+F8+J8+N8+R8+V8+Z8+AD8+AH8+AL8+AP8+AT8+AX8+BB8+BF8+BJ8+BN8+BR8+BV8+BZ8+CD8+CH8+CL8)</f>
        <v>353712642.07</v>
      </c>
      <c r="CQ8" s="197">
        <f t="shared" si="0"/>
        <v>298549917.43</v>
      </c>
      <c r="CR8" s="197">
        <f t="shared" si="0"/>
        <v>967194477.9100001</v>
      </c>
      <c r="CS8" s="198">
        <f t="shared" si="0"/>
        <v>801842160.03</v>
      </c>
      <c r="CT8" s="851">
        <v>630141173</v>
      </c>
      <c r="CU8" s="195">
        <v>592860478</v>
      </c>
      <c r="CV8" s="195">
        <v>1651691131</v>
      </c>
      <c r="CW8" s="196">
        <v>1835515096</v>
      </c>
      <c r="CX8" s="212">
        <f aca="true" t="shared" si="3" ref="CX8:CX14">CP8+CT8</f>
        <v>983853815.0699999</v>
      </c>
      <c r="CY8" s="197">
        <f t="shared" si="1"/>
        <v>891410395.4300001</v>
      </c>
      <c r="CZ8" s="197">
        <f t="shared" si="1"/>
        <v>2618885608.91</v>
      </c>
      <c r="DA8" s="198">
        <f t="shared" si="1"/>
        <v>2637357256.0299997</v>
      </c>
    </row>
    <row r="9" spans="1:105" s="162" customFormat="1" ht="14.25">
      <c r="A9" s="158" t="s">
        <v>28</v>
      </c>
      <c r="B9" s="844">
        <v>5535369</v>
      </c>
      <c r="C9" s="184">
        <v>4513116</v>
      </c>
      <c r="D9" s="184">
        <v>21132054</v>
      </c>
      <c r="E9" s="185">
        <v>14056116</v>
      </c>
      <c r="F9" s="207">
        <v>11127</v>
      </c>
      <c r="G9" s="170">
        <v>80419</v>
      </c>
      <c r="H9" s="170">
        <v>54452</v>
      </c>
      <c r="I9" s="186">
        <v>114994</v>
      </c>
      <c r="J9" s="169">
        <v>39442</v>
      </c>
      <c r="K9" s="170">
        <v>50765</v>
      </c>
      <c r="L9" s="170">
        <v>113433</v>
      </c>
      <c r="M9" s="171">
        <v>187633</v>
      </c>
      <c r="N9" s="169">
        <v>11308005</v>
      </c>
      <c r="O9" s="170">
        <v>9197351</v>
      </c>
      <c r="P9" s="170">
        <v>31858756</v>
      </c>
      <c r="Q9" s="171">
        <v>28947490</v>
      </c>
      <c r="R9" s="207">
        <v>992184</v>
      </c>
      <c r="S9" s="170">
        <v>1148465</v>
      </c>
      <c r="T9" s="170">
        <v>3333619</v>
      </c>
      <c r="U9" s="186">
        <v>2948573</v>
      </c>
      <c r="V9" s="169">
        <v>1583551</v>
      </c>
      <c r="W9" s="170">
        <v>517981</v>
      </c>
      <c r="X9" s="170">
        <v>5441977</v>
      </c>
      <c r="Y9" s="171">
        <v>4060168</v>
      </c>
      <c r="Z9" s="169">
        <v>1614605</v>
      </c>
      <c r="AA9" s="170">
        <v>3391398</v>
      </c>
      <c r="AB9" s="170">
        <v>9236765</v>
      </c>
      <c r="AC9" s="171">
        <v>11339659</v>
      </c>
      <c r="AD9" s="169">
        <v>252886</v>
      </c>
      <c r="AE9" s="170">
        <v>272069</v>
      </c>
      <c r="AF9" s="170">
        <v>657159</v>
      </c>
      <c r="AG9" s="171">
        <v>604730</v>
      </c>
      <c r="AH9" s="169">
        <v>309582</v>
      </c>
      <c r="AI9" s="170">
        <v>101958</v>
      </c>
      <c r="AJ9" s="170">
        <v>580288</v>
      </c>
      <c r="AK9" s="171">
        <v>321064</v>
      </c>
      <c r="AL9" s="169">
        <v>234784</v>
      </c>
      <c r="AM9" s="170">
        <v>244786</v>
      </c>
      <c r="AN9" s="170">
        <v>746905</v>
      </c>
      <c r="AO9" s="171">
        <v>647458</v>
      </c>
      <c r="AP9" s="169">
        <v>32448583</v>
      </c>
      <c r="AQ9" s="170">
        <v>25486666</v>
      </c>
      <c r="AR9" s="170">
        <v>99133435</v>
      </c>
      <c r="AS9" s="186">
        <v>66111529</v>
      </c>
      <c r="AT9" s="169">
        <v>12189683</v>
      </c>
      <c r="AU9" s="170">
        <v>5599900</v>
      </c>
      <c r="AV9" s="170">
        <v>33858213</v>
      </c>
      <c r="AW9" s="186">
        <v>18555605</v>
      </c>
      <c r="AX9" s="169">
        <v>1507215</v>
      </c>
      <c r="AY9" s="190">
        <v>1401648</v>
      </c>
      <c r="AZ9" s="190">
        <v>3808814</v>
      </c>
      <c r="BA9" s="191">
        <v>4164294</v>
      </c>
      <c r="BB9" s="206">
        <v>390.8</v>
      </c>
      <c r="BC9" s="166">
        <v>389.68</v>
      </c>
      <c r="BD9" s="166">
        <v>1393.96</v>
      </c>
      <c r="BE9" s="167">
        <v>925.1</v>
      </c>
      <c r="BF9" s="207">
        <v>5220399</v>
      </c>
      <c r="BG9" s="170">
        <v>4411540</v>
      </c>
      <c r="BH9" s="170">
        <v>14430448</v>
      </c>
      <c r="BI9" s="186">
        <v>10895317</v>
      </c>
      <c r="BJ9" s="169">
        <v>4306674</v>
      </c>
      <c r="BK9" s="170">
        <v>3717671</v>
      </c>
      <c r="BL9" s="170">
        <v>12872837</v>
      </c>
      <c r="BM9" s="186">
        <v>11570800</v>
      </c>
      <c r="BN9" s="169">
        <v>1279240</v>
      </c>
      <c r="BO9" s="170">
        <v>536020</v>
      </c>
      <c r="BP9" s="170">
        <v>2614572</v>
      </c>
      <c r="BQ9" s="171">
        <v>1659799</v>
      </c>
      <c r="BR9" s="207">
        <v>108883</v>
      </c>
      <c r="BS9" s="170">
        <v>152086</v>
      </c>
      <c r="BT9" s="170">
        <v>686529</v>
      </c>
      <c r="BU9" s="186">
        <v>770277</v>
      </c>
      <c r="BV9" s="175"/>
      <c r="BW9" s="166"/>
      <c r="BX9" s="166"/>
      <c r="BY9" s="168"/>
      <c r="BZ9" s="192">
        <v>14305785</v>
      </c>
      <c r="CA9" s="122">
        <v>12238964</v>
      </c>
      <c r="CB9" s="122">
        <v>47347549</v>
      </c>
      <c r="CC9" s="123">
        <v>28267753</v>
      </c>
      <c r="CD9" s="365">
        <v>1008599</v>
      </c>
      <c r="CE9" s="193">
        <v>1127656</v>
      </c>
      <c r="CF9" s="193">
        <v>3284433</v>
      </c>
      <c r="CG9" s="210">
        <v>3287124</v>
      </c>
      <c r="CH9" s="194">
        <v>312249</v>
      </c>
      <c r="CI9" s="195">
        <v>363139</v>
      </c>
      <c r="CJ9" s="195">
        <v>1029237</v>
      </c>
      <c r="CK9" s="211">
        <v>1161939</v>
      </c>
      <c r="CL9" s="169">
        <v>1426456</v>
      </c>
      <c r="CM9" s="170">
        <v>34195</v>
      </c>
      <c r="CN9" s="170">
        <v>1639537</v>
      </c>
      <c r="CO9" s="171">
        <v>66480</v>
      </c>
      <c r="CP9" s="212">
        <f t="shared" si="2"/>
        <v>95995691.8</v>
      </c>
      <c r="CQ9" s="197">
        <f t="shared" si="0"/>
        <v>74588182.68</v>
      </c>
      <c r="CR9" s="197">
        <f t="shared" si="0"/>
        <v>293862405.96000004</v>
      </c>
      <c r="CS9" s="198">
        <f t="shared" si="0"/>
        <v>209739727.1</v>
      </c>
      <c r="CT9" s="851">
        <v>355438913</v>
      </c>
      <c r="CU9" s="195">
        <v>248946620</v>
      </c>
      <c r="CV9" s="195">
        <v>1110097426</v>
      </c>
      <c r="CW9" s="196">
        <v>1065252925</v>
      </c>
      <c r="CX9" s="212">
        <f t="shared" si="3"/>
        <v>451434604.8</v>
      </c>
      <c r="CY9" s="197">
        <f t="shared" si="1"/>
        <v>323534802.68</v>
      </c>
      <c r="CZ9" s="197">
        <f t="shared" si="1"/>
        <v>1403959831.96</v>
      </c>
      <c r="DA9" s="198">
        <f t="shared" si="1"/>
        <v>1274992652.1</v>
      </c>
    </row>
    <row r="10" spans="1:105" s="162" customFormat="1" ht="14.25">
      <c r="A10" s="199" t="s">
        <v>29</v>
      </c>
      <c r="B10" s="159">
        <f>SUM(B7:B9)</f>
        <v>25781048</v>
      </c>
      <c r="C10" s="200">
        <f>SUM(C7:C9)</f>
        <v>21118022</v>
      </c>
      <c r="D10" s="200">
        <f aca="true" t="shared" si="4" ref="D10:M10">SUM(D7:D9)</f>
        <v>75112612</v>
      </c>
      <c r="E10" s="845">
        <f t="shared" si="4"/>
        <v>59030033</v>
      </c>
      <c r="F10" s="200">
        <f t="shared" si="4"/>
        <v>2242553</v>
      </c>
      <c r="G10" s="200">
        <f t="shared" si="4"/>
        <v>2208705</v>
      </c>
      <c r="H10" s="200">
        <f t="shared" si="4"/>
        <v>5688819</v>
      </c>
      <c r="I10" s="1022">
        <f t="shared" si="4"/>
        <v>5312067</v>
      </c>
      <c r="J10" s="159">
        <f t="shared" si="4"/>
        <v>5293318</v>
      </c>
      <c r="K10" s="200">
        <f t="shared" si="4"/>
        <v>5291587</v>
      </c>
      <c r="L10" s="200">
        <f t="shared" si="4"/>
        <v>12649372</v>
      </c>
      <c r="M10" s="845">
        <f t="shared" si="4"/>
        <v>13442164</v>
      </c>
      <c r="N10" s="159">
        <f aca="true" t="shared" si="5" ref="N10:AS10">SUM(N7:N9)</f>
        <v>32899259</v>
      </c>
      <c r="O10" s="200">
        <f t="shared" si="5"/>
        <v>26700077</v>
      </c>
      <c r="P10" s="200">
        <f t="shared" si="5"/>
        <v>88571627</v>
      </c>
      <c r="Q10" s="845">
        <f t="shared" si="5"/>
        <v>75783746</v>
      </c>
      <c r="R10" s="200">
        <f t="shared" si="5"/>
        <v>7162873</v>
      </c>
      <c r="S10" s="200">
        <f t="shared" si="5"/>
        <v>6199261</v>
      </c>
      <c r="T10" s="200">
        <f t="shared" si="5"/>
        <v>20755020</v>
      </c>
      <c r="U10" s="1022">
        <f t="shared" si="5"/>
        <v>16843914</v>
      </c>
      <c r="V10" s="159">
        <f t="shared" si="5"/>
        <v>12324317</v>
      </c>
      <c r="W10" s="200">
        <f t="shared" si="5"/>
        <v>9233485</v>
      </c>
      <c r="X10" s="200">
        <f t="shared" si="5"/>
        <v>34907448</v>
      </c>
      <c r="Y10" s="845">
        <f t="shared" si="5"/>
        <v>27810569</v>
      </c>
      <c r="Z10" s="159">
        <f t="shared" si="5"/>
        <v>4231151</v>
      </c>
      <c r="AA10" s="200">
        <f t="shared" si="5"/>
        <v>5842448</v>
      </c>
      <c r="AB10" s="200">
        <f t="shared" si="5"/>
        <v>18168603</v>
      </c>
      <c r="AC10" s="845">
        <f t="shared" si="5"/>
        <v>18444591</v>
      </c>
      <c r="AD10" s="159">
        <f t="shared" si="5"/>
        <v>4071791</v>
      </c>
      <c r="AE10" s="200">
        <f t="shared" si="5"/>
        <v>3103259</v>
      </c>
      <c r="AF10" s="200">
        <f t="shared" si="5"/>
        <v>9193110</v>
      </c>
      <c r="AG10" s="845">
        <f t="shared" si="5"/>
        <v>6382596</v>
      </c>
      <c r="AH10" s="159">
        <f t="shared" si="5"/>
        <v>10913038</v>
      </c>
      <c r="AI10" s="200">
        <f t="shared" si="5"/>
        <v>9345996</v>
      </c>
      <c r="AJ10" s="200">
        <f t="shared" si="5"/>
        <v>28861971</v>
      </c>
      <c r="AK10" s="845">
        <f t="shared" si="5"/>
        <v>25318866</v>
      </c>
      <c r="AL10" s="159">
        <f t="shared" si="5"/>
        <v>5362055</v>
      </c>
      <c r="AM10" s="200">
        <f t="shared" si="5"/>
        <v>4046853</v>
      </c>
      <c r="AN10" s="200">
        <f t="shared" si="5"/>
        <v>12431647</v>
      </c>
      <c r="AO10" s="845">
        <f t="shared" si="5"/>
        <v>9922933</v>
      </c>
      <c r="AP10" s="159">
        <f t="shared" si="5"/>
        <v>103264647</v>
      </c>
      <c r="AQ10" s="200">
        <f t="shared" si="5"/>
        <v>89564412</v>
      </c>
      <c r="AR10" s="200">
        <f t="shared" si="5"/>
        <v>291860241</v>
      </c>
      <c r="AS10" s="1022">
        <f t="shared" si="5"/>
        <v>235644133</v>
      </c>
      <c r="AT10" s="159">
        <f aca="true" t="shared" si="6" ref="AT10:BY10">SUM(AT7:AT9)</f>
        <v>101636262</v>
      </c>
      <c r="AU10" s="1057">
        <f t="shared" si="6"/>
        <v>87289228</v>
      </c>
      <c r="AV10" s="1057">
        <f t="shared" si="6"/>
        <v>309297742</v>
      </c>
      <c r="AW10" s="1058">
        <f t="shared" si="6"/>
        <v>270687692</v>
      </c>
      <c r="AX10" s="159">
        <f t="shared" si="6"/>
        <v>7088559</v>
      </c>
      <c r="AY10" s="1057">
        <f t="shared" si="6"/>
        <v>6502609</v>
      </c>
      <c r="AZ10" s="1057">
        <f t="shared" si="6"/>
        <v>19325167</v>
      </c>
      <c r="BA10" s="1446">
        <f t="shared" si="6"/>
        <v>17832407</v>
      </c>
      <c r="BB10" s="748">
        <f t="shared" si="6"/>
        <v>1184.46</v>
      </c>
      <c r="BC10" s="748">
        <f t="shared" si="6"/>
        <v>1007.06</v>
      </c>
      <c r="BD10" s="748">
        <f t="shared" si="6"/>
        <v>3212.5600000000004</v>
      </c>
      <c r="BE10" s="846">
        <f t="shared" si="6"/>
        <v>2309.0099999999998</v>
      </c>
      <c r="BF10" s="200">
        <f t="shared" si="6"/>
        <v>34266078</v>
      </c>
      <c r="BG10" s="200">
        <f t="shared" si="6"/>
        <v>27787815</v>
      </c>
      <c r="BH10" s="200">
        <f t="shared" si="6"/>
        <v>81682903</v>
      </c>
      <c r="BI10" s="1022">
        <f t="shared" si="6"/>
        <v>65986722</v>
      </c>
      <c r="BJ10" s="159">
        <f t="shared" si="6"/>
        <v>55209393</v>
      </c>
      <c r="BK10" s="1057">
        <f t="shared" si="6"/>
        <v>46484740</v>
      </c>
      <c r="BL10" s="1057">
        <f t="shared" si="6"/>
        <v>145752292</v>
      </c>
      <c r="BM10" s="1058">
        <f t="shared" si="6"/>
        <v>125008920</v>
      </c>
      <c r="BN10" s="159">
        <f t="shared" si="6"/>
        <v>17820145</v>
      </c>
      <c r="BO10" s="1057">
        <f t="shared" si="6"/>
        <v>14669617</v>
      </c>
      <c r="BP10" s="1057">
        <f t="shared" si="6"/>
        <v>47771966</v>
      </c>
      <c r="BQ10" s="1446">
        <f t="shared" si="6"/>
        <v>39535108</v>
      </c>
      <c r="BR10" s="200">
        <f t="shared" si="6"/>
        <v>15154864</v>
      </c>
      <c r="BS10" s="200">
        <f t="shared" si="6"/>
        <v>13865793</v>
      </c>
      <c r="BT10" s="200">
        <f t="shared" si="6"/>
        <v>43579268</v>
      </c>
      <c r="BU10" s="1022">
        <f t="shared" si="6"/>
        <v>40693707</v>
      </c>
      <c r="BV10" s="159">
        <f t="shared" si="6"/>
        <v>0</v>
      </c>
      <c r="BW10" s="1057">
        <f t="shared" si="6"/>
        <v>0</v>
      </c>
      <c r="BX10" s="1057">
        <f t="shared" si="6"/>
        <v>0</v>
      </c>
      <c r="BY10" s="1058">
        <f t="shared" si="6"/>
        <v>0</v>
      </c>
      <c r="BZ10" s="159">
        <f aca="true" t="shared" si="7" ref="BZ10:CO10">SUM(BZ7:BZ9)</f>
        <v>113759982</v>
      </c>
      <c r="CA10" s="1057">
        <f t="shared" si="7"/>
        <v>92900912</v>
      </c>
      <c r="CB10" s="1057">
        <f t="shared" si="7"/>
        <v>329894213</v>
      </c>
      <c r="CC10" s="1446">
        <f t="shared" si="7"/>
        <v>253541895</v>
      </c>
      <c r="CD10" s="200">
        <f t="shared" si="7"/>
        <v>6047567</v>
      </c>
      <c r="CE10" s="200">
        <f t="shared" si="7"/>
        <v>5389672</v>
      </c>
      <c r="CF10" s="200">
        <f t="shared" si="7"/>
        <v>16994624</v>
      </c>
      <c r="CG10" s="1022">
        <f t="shared" si="7"/>
        <v>14970367</v>
      </c>
      <c r="CH10" s="159">
        <f t="shared" si="7"/>
        <v>7833855</v>
      </c>
      <c r="CI10" s="1057">
        <f t="shared" si="7"/>
        <v>6851632</v>
      </c>
      <c r="CJ10" s="1057">
        <f t="shared" si="7"/>
        <v>19940744</v>
      </c>
      <c r="CK10" s="1058">
        <f t="shared" si="7"/>
        <v>17830066</v>
      </c>
      <c r="CL10" s="159">
        <f t="shared" si="7"/>
        <v>25472798</v>
      </c>
      <c r="CM10" s="1057">
        <f t="shared" si="7"/>
        <v>16911714</v>
      </c>
      <c r="CN10" s="1057">
        <f t="shared" si="7"/>
        <v>60697636</v>
      </c>
      <c r="CO10" s="1446">
        <f t="shared" si="7"/>
        <v>41629501</v>
      </c>
      <c r="CP10" s="212">
        <f t="shared" si="2"/>
        <v>597836737.46</v>
      </c>
      <c r="CQ10" s="197">
        <f t="shared" si="0"/>
        <v>501308844.06</v>
      </c>
      <c r="CR10" s="197">
        <f t="shared" si="0"/>
        <v>1673140237.56</v>
      </c>
      <c r="CS10" s="198">
        <f t="shared" si="0"/>
        <v>1381654306.01</v>
      </c>
      <c r="CT10" s="212">
        <f>SUM(CT7:CT9)</f>
        <v>1111135533</v>
      </c>
      <c r="CU10" s="197">
        <f>SUM(CU7:CU9)</f>
        <v>940920483</v>
      </c>
      <c r="CV10" s="197">
        <f>SUM(CV7:CV9)</f>
        <v>3075050711</v>
      </c>
      <c r="CW10" s="198">
        <f>SUM(CW7:CW9)</f>
        <v>3182232056</v>
      </c>
      <c r="CX10" s="212">
        <f t="shared" si="3"/>
        <v>1708972270.46</v>
      </c>
      <c r="CY10" s="197">
        <f t="shared" si="1"/>
        <v>1442229327.06</v>
      </c>
      <c r="CZ10" s="197">
        <f t="shared" si="1"/>
        <v>4748190948.559999</v>
      </c>
      <c r="DA10" s="198">
        <f t="shared" si="1"/>
        <v>4563886362.01</v>
      </c>
    </row>
    <row r="11" spans="1:105" s="162" customFormat="1" ht="14.25">
      <c r="A11" s="158" t="s">
        <v>30</v>
      </c>
      <c r="B11" s="844"/>
      <c r="C11" s="184"/>
      <c r="D11" s="184"/>
      <c r="E11" s="185"/>
      <c r="F11" s="207"/>
      <c r="G11" s="170"/>
      <c r="H11" s="170"/>
      <c r="I11" s="186"/>
      <c r="J11" s="169"/>
      <c r="K11" s="170"/>
      <c r="L11" s="170"/>
      <c r="M11" s="171"/>
      <c r="N11" s="169"/>
      <c r="O11" s="170"/>
      <c r="P11" s="170"/>
      <c r="Q11" s="171"/>
      <c r="R11" s="207"/>
      <c r="S11" s="170"/>
      <c r="T11" s="170"/>
      <c r="U11" s="186"/>
      <c r="V11" s="169"/>
      <c r="W11" s="170"/>
      <c r="X11" s="170"/>
      <c r="Y11" s="171"/>
      <c r="Z11" s="169"/>
      <c r="AA11" s="170"/>
      <c r="AB11" s="170"/>
      <c r="AC11" s="171"/>
      <c r="AD11" s="169"/>
      <c r="AE11" s="170"/>
      <c r="AF11" s="170"/>
      <c r="AG11" s="171"/>
      <c r="AH11" s="169"/>
      <c r="AI11" s="170"/>
      <c r="AJ11" s="170"/>
      <c r="AK11" s="171"/>
      <c r="AL11" s="169"/>
      <c r="AM11" s="170"/>
      <c r="AN11" s="170"/>
      <c r="AO11" s="171"/>
      <c r="AP11" s="169"/>
      <c r="AQ11" s="170"/>
      <c r="AR11" s="170"/>
      <c r="AS11" s="186"/>
      <c r="AT11" s="169"/>
      <c r="AU11" s="170"/>
      <c r="AV11" s="170"/>
      <c r="AW11" s="186"/>
      <c r="AX11" s="169"/>
      <c r="AY11" s="170"/>
      <c r="AZ11" s="170"/>
      <c r="BA11" s="171"/>
      <c r="BB11" s="206"/>
      <c r="BC11" s="166"/>
      <c r="BD11" s="166"/>
      <c r="BE11" s="167"/>
      <c r="BF11" s="207"/>
      <c r="BG11" s="170"/>
      <c r="BH11" s="170"/>
      <c r="BI11" s="186"/>
      <c r="BJ11" s="169"/>
      <c r="BK11" s="170"/>
      <c r="BL11" s="170"/>
      <c r="BM11" s="186"/>
      <c r="BN11" s="169"/>
      <c r="BO11" s="170"/>
      <c r="BP11" s="170"/>
      <c r="BQ11" s="171"/>
      <c r="BR11" s="207"/>
      <c r="BS11" s="170"/>
      <c r="BT11" s="170"/>
      <c r="BU11" s="186"/>
      <c r="BV11" s="175"/>
      <c r="BW11" s="166"/>
      <c r="BX11" s="166"/>
      <c r="BY11" s="168"/>
      <c r="BZ11" s="1453"/>
      <c r="CA11" s="160"/>
      <c r="CB11" s="160"/>
      <c r="CC11" s="161"/>
      <c r="CD11" s="365"/>
      <c r="CE11" s="193"/>
      <c r="CF11" s="193"/>
      <c r="CG11" s="210"/>
      <c r="CH11" s="194"/>
      <c r="CI11" s="195"/>
      <c r="CJ11" s="195"/>
      <c r="CK11" s="211"/>
      <c r="CL11" s="169"/>
      <c r="CM11" s="170"/>
      <c r="CN11" s="170"/>
      <c r="CO11" s="171"/>
      <c r="CP11" s="212"/>
      <c r="CQ11" s="197"/>
      <c r="CR11" s="197"/>
      <c r="CS11" s="198"/>
      <c r="CT11" s="851"/>
      <c r="CU11" s="195"/>
      <c r="CV11" s="195"/>
      <c r="CW11" s="196"/>
      <c r="CX11" s="212"/>
      <c r="CY11" s="197"/>
      <c r="CZ11" s="197"/>
      <c r="DA11" s="198"/>
    </row>
    <row r="12" spans="1:105" s="162" customFormat="1" ht="14.25">
      <c r="A12" s="158" t="s">
        <v>31</v>
      </c>
      <c r="B12" s="844">
        <v>25781048</v>
      </c>
      <c r="C12" s="184">
        <f>C10</f>
        <v>21118022</v>
      </c>
      <c r="D12" s="184">
        <f>D10</f>
        <v>75112612</v>
      </c>
      <c r="E12" s="185">
        <f>E10</f>
        <v>59030033</v>
      </c>
      <c r="F12" s="212">
        <f>F10</f>
        <v>2242553</v>
      </c>
      <c r="G12" s="212">
        <f aca="true" t="shared" si="8" ref="G12:AS12">G10</f>
        <v>2208705</v>
      </c>
      <c r="H12" s="212">
        <f t="shared" si="8"/>
        <v>5688819</v>
      </c>
      <c r="I12" s="213">
        <f t="shared" si="8"/>
        <v>5312067</v>
      </c>
      <c r="J12" s="197">
        <f t="shared" si="8"/>
        <v>5293318</v>
      </c>
      <c r="K12" s="212">
        <f t="shared" si="8"/>
        <v>5291587</v>
      </c>
      <c r="L12" s="212">
        <f t="shared" si="8"/>
        <v>12649372</v>
      </c>
      <c r="M12" s="214">
        <f t="shared" si="8"/>
        <v>13442164</v>
      </c>
      <c r="N12" s="197">
        <f t="shared" si="8"/>
        <v>32899259</v>
      </c>
      <c r="O12" s="212">
        <f t="shared" si="8"/>
        <v>26700077</v>
      </c>
      <c r="P12" s="212">
        <f t="shared" si="8"/>
        <v>88571627</v>
      </c>
      <c r="Q12" s="214">
        <f t="shared" si="8"/>
        <v>75783746</v>
      </c>
      <c r="R12" s="212">
        <f t="shared" si="8"/>
        <v>7162873</v>
      </c>
      <c r="S12" s="212">
        <f t="shared" si="8"/>
        <v>6199261</v>
      </c>
      <c r="T12" s="212">
        <f t="shared" si="8"/>
        <v>20755020</v>
      </c>
      <c r="U12" s="213">
        <f t="shared" si="8"/>
        <v>16843914</v>
      </c>
      <c r="V12" s="197">
        <f t="shared" si="8"/>
        <v>12324317</v>
      </c>
      <c r="W12" s="212">
        <f t="shared" si="8"/>
        <v>9233485</v>
      </c>
      <c r="X12" s="212">
        <f t="shared" si="8"/>
        <v>34907448</v>
      </c>
      <c r="Y12" s="214">
        <f t="shared" si="8"/>
        <v>27810569</v>
      </c>
      <c r="Z12" s="197">
        <f t="shared" si="8"/>
        <v>4231151</v>
      </c>
      <c r="AA12" s="212">
        <f t="shared" si="8"/>
        <v>5842448</v>
      </c>
      <c r="AB12" s="212">
        <f t="shared" si="8"/>
        <v>18168603</v>
      </c>
      <c r="AC12" s="214">
        <f t="shared" si="8"/>
        <v>18444591</v>
      </c>
      <c r="AD12" s="197">
        <f t="shared" si="8"/>
        <v>4071791</v>
      </c>
      <c r="AE12" s="212">
        <f t="shared" si="8"/>
        <v>3103259</v>
      </c>
      <c r="AF12" s="212">
        <f t="shared" si="8"/>
        <v>9193110</v>
      </c>
      <c r="AG12" s="214">
        <f t="shared" si="8"/>
        <v>6382596</v>
      </c>
      <c r="AH12" s="197">
        <f t="shared" si="8"/>
        <v>10913038</v>
      </c>
      <c r="AI12" s="212">
        <f t="shared" si="8"/>
        <v>9345996</v>
      </c>
      <c r="AJ12" s="212">
        <f t="shared" si="8"/>
        <v>28861971</v>
      </c>
      <c r="AK12" s="214">
        <f t="shared" si="8"/>
        <v>25318866</v>
      </c>
      <c r="AL12" s="197">
        <f t="shared" si="8"/>
        <v>5362055</v>
      </c>
      <c r="AM12" s="212">
        <f t="shared" si="8"/>
        <v>4046853</v>
      </c>
      <c r="AN12" s="212">
        <f t="shared" si="8"/>
        <v>12431647</v>
      </c>
      <c r="AO12" s="214">
        <f t="shared" si="8"/>
        <v>9922933</v>
      </c>
      <c r="AP12" s="197">
        <f t="shared" si="8"/>
        <v>103264647</v>
      </c>
      <c r="AQ12" s="212">
        <f t="shared" si="8"/>
        <v>89564412</v>
      </c>
      <c r="AR12" s="212">
        <f t="shared" si="8"/>
        <v>291860241</v>
      </c>
      <c r="AS12" s="213">
        <f t="shared" si="8"/>
        <v>235644133</v>
      </c>
      <c r="AT12" s="169">
        <f aca="true" t="shared" si="9" ref="AT12:BF12">AT10</f>
        <v>101636262</v>
      </c>
      <c r="AU12" s="170">
        <f t="shared" si="9"/>
        <v>87289228</v>
      </c>
      <c r="AV12" s="170">
        <f t="shared" si="9"/>
        <v>309297742</v>
      </c>
      <c r="AW12" s="186">
        <f t="shared" si="9"/>
        <v>270687692</v>
      </c>
      <c r="AX12" s="169">
        <f t="shared" si="9"/>
        <v>7088559</v>
      </c>
      <c r="AY12" s="170">
        <f t="shared" si="9"/>
        <v>6502609</v>
      </c>
      <c r="AZ12" s="170">
        <f t="shared" si="9"/>
        <v>19325167</v>
      </c>
      <c r="BA12" s="171">
        <f t="shared" si="9"/>
        <v>17832407</v>
      </c>
      <c r="BB12" s="206">
        <f t="shared" si="9"/>
        <v>1184.46</v>
      </c>
      <c r="BC12" s="165">
        <f t="shared" si="9"/>
        <v>1007.06</v>
      </c>
      <c r="BD12" s="165">
        <f t="shared" si="9"/>
        <v>3212.5600000000004</v>
      </c>
      <c r="BE12" s="847">
        <f t="shared" si="9"/>
        <v>2309.0099999999998</v>
      </c>
      <c r="BF12" s="207">
        <f t="shared" si="9"/>
        <v>34266078</v>
      </c>
      <c r="BG12" s="169">
        <f aca="true" t="shared" si="10" ref="BG12:BQ12">BG10</f>
        <v>27787815</v>
      </c>
      <c r="BH12" s="169">
        <f t="shared" si="10"/>
        <v>81682903</v>
      </c>
      <c r="BI12" s="1451">
        <f t="shared" si="10"/>
        <v>65986722</v>
      </c>
      <c r="BJ12" s="169">
        <f t="shared" si="10"/>
        <v>55209393</v>
      </c>
      <c r="BK12" s="170">
        <f t="shared" si="10"/>
        <v>46484740</v>
      </c>
      <c r="BL12" s="170">
        <f t="shared" si="10"/>
        <v>145752292</v>
      </c>
      <c r="BM12" s="186">
        <f t="shared" si="10"/>
        <v>125008920</v>
      </c>
      <c r="BN12" s="169">
        <f t="shared" si="10"/>
        <v>17820145</v>
      </c>
      <c r="BO12" s="170">
        <f t="shared" si="10"/>
        <v>14669617</v>
      </c>
      <c r="BP12" s="170">
        <f t="shared" si="10"/>
        <v>47771966</v>
      </c>
      <c r="BQ12" s="171">
        <f t="shared" si="10"/>
        <v>39535108</v>
      </c>
      <c r="BR12" s="207">
        <f>BR10</f>
        <v>15154864</v>
      </c>
      <c r="BS12" s="169">
        <f aca="true" t="shared" si="11" ref="BS12:BY12">BS10</f>
        <v>13865793</v>
      </c>
      <c r="BT12" s="169">
        <f t="shared" si="11"/>
        <v>43579268</v>
      </c>
      <c r="BU12" s="1451">
        <f t="shared" si="11"/>
        <v>40693707</v>
      </c>
      <c r="BV12" s="169">
        <f t="shared" si="11"/>
        <v>0</v>
      </c>
      <c r="BW12" s="170">
        <f t="shared" si="11"/>
        <v>0</v>
      </c>
      <c r="BX12" s="170">
        <f t="shared" si="11"/>
        <v>0</v>
      </c>
      <c r="BY12" s="186">
        <f t="shared" si="11"/>
        <v>0</v>
      </c>
      <c r="BZ12" s="192">
        <f>BZ10</f>
        <v>113759982</v>
      </c>
      <c r="CA12" s="122">
        <f>CA10</f>
        <v>92900912</v>
      </c>
      <c r="CB12" s="122">
        <f>CB10</f>
        <v>329894213</v>
      </c>
      <c r="CC12" s="123">
        <f>CC10</f>
        <v>253541895</v>
      </c>
      <c r="CD12" s="365"/>
      <c r="CE12" s="193"/>
      <c r="CF12" s="193"/>
      <c r="CG12" s="210"/>
      <c r="CH12" s="194">
        <f>CH10</f>
        <v>7833855</v>
      </c>
      <c r="CI12" s="195">
        <f aca="true" t="shared" si="12" ref="CI12:CO12">CI10</f>
        <v>6851632</v>
      </c>
      <c r="CJ12" s="195">
        <f t="shared" si="12"/>
        <v>19940744</v>
      </c>
      <c r="CK12" s="211">
        <f t="shared" si="12"/>
        <v>17830066</v>
      </c>
      <c r="CL12" s="194">
        <f t="shared" si="12"/>
        <v>25472798</v>
      </c>
      <c r="CM12" s="195">
        <f t="shared" si="12"/>
        <v>16911714</v>
      </c>
      <c r="CN12" s="195">
        <f t="shared" si="12"/>
        <v>60697636</v>
      </c>
      <c r="CO12" s="196">
        <f t="shared" si="12"/>
        <v>41629501</v>
      </c>
      <c r="CP12" s="212">
        <f t="shared" si="2"/>
        <v>591789170.46</v>
      </c>
      <c r="CQ12" s="197">
        <f t="shared" si="0"/>
        <v>495919172.06</v>
      </c>
      <c r="CR12" s="197">
        <f t="shared" si="0"/>
        <v>1656145613.56</v>
      </c>
      <c r="CS12" s="198">
        <f t="shared" si="0"/>
        <v>1366683939.01</v>
      </c>
      <c r="CT12" s="851">
        <f>CT10</f>
        <v>1111135533</v>
      </c>
      <c r="CU12" s="195">
        <f>CU10</f>
        <v>940920483</v>
      </c>
      <c r="CV12" s="195">
        <f>CV10</f>
        <v>3075050711</v>
      </c>
      <c r="CW12" s="196">
        <f>CW10</f>
        <v>3182232056</v>
      </c>
      <c r="CX12" s="212">
        <f t="shared" si="3"/>
        <v>1702924703.46</v>
      </c>
      <c r="CY12" s="197">
        <f t="shared" si="1"/>
        <v>1436839655.06</v>
      </c>
      <c r="CZ12" s="197">
        <f t="shared" si="1"/>
        <v>4731196324.559999</v>
      </c>
      <c r="DA12" s="198">
        <f t="shared" si="1"/>
        <v>4548915995.01</v>
      </c>
    </row>
    <row r="13" spans="1:105" s="162" customFormat="1" ht="14.25">
      <c r="A13" s="158" t="s">
        <v>32</v>
      </c>
      <c r="B13" s="844"/>
      <c r="C13" s="184"/>
      <c r="D13" s="184"/>
      <c r="E13" s="185"/>
      <c r="F13" s="207"/>
      <c r="G13" s="170"/>
      <c r="H13" s="170"/>
      <c r="I13" s="186"/>
      <c r="J13" s="169"/>
      <c r="K13" s="170"/>
      <c r="L13" s="170"/>
      <c r="M13" s="171"/>
      <c r="N13" s="169"/>
      <c r="O13" s="170"/>
      <c r="P13" s="170"/>
      <c r="Q13" s="171"/>
      <c r="R13" s="207"/>
      <c r="S13" s="170"/>
      <c r="T13" s="170"/>
      <c r="U13" s="186"/>
      <c r="V13" s="169"/>
      <c r="W13" s="170"/>
      <c r="X13" s="170"/>
      <c r="Y13" s="171"/>
      <c r="Z13" s="169"/>
      <c r="AA13" s="170"/>
      <c r="AB13" s="170"/>
      <c r="AC13" s="171"/>
      <c r="AD13" s="169"/>
      <c r="AE13" s="170"/>
      <c r="AF13" s="170"/>
      <c r="AG13" s="171"/>
      <c r="AH13" s="169"/>
      <c r="AI13" s="170"/>
      <c r="AJ13" s="170"/>
      <c r="AK13" s="171"/>
      <c r="AL13" s="169"/>
      <c r="AM13" s="170"/>
      <c r="AN13" s="170"/>
      <c r="AO13" s="171"/>
      <c r="AP13" s="169"/>
      <c r="AQ13" s="170"/>
      <c r="AR13" s="170"/>
      <c r="AS13" s="186"/>
      <c r="AT13" s="169"/>
      <c r="AU13" s="170"/>
      <c r="AV13" s="170"/>
      <c r="AW13" s="186"/>
      <c r="AX13" s="169"/>
      <c r="AY13" s="170"/>
      <c r="AZ13" s="170"/>
      <c r="BA13" s="171"/>
      <c r="BB13" s="206"/>
      <c r="BC13" s="166"/>
      <c r="BD13" s="166"/>
      <c r="BE13" s="167"/>
      <c r="BF13" s="207"/>
      <c r="BG13" s="170"/>
      <c r="BH13" s="170"/>
      <c r="BI13" s="186"/>
      <c r="BJ13" s="169"/>
      <c r="BK13" s="170"/>
      <c r="BL13" s="170"/>
      <c r="BM13" s="186"/>
      <c r="BN13" s="169"/>
      <c r="BO13" s="170"/>
      <c r="BP13" s="170"/>
      <c r="BQ13" s="171"/>
      <c r="BR13" s="207"/>
      <c r="BS13" s="170"/>
      <c r="BT13" s="170"/>
      <c r="BU13" s="186"/>
      <c r="BV13" s="175"/>
      <c r="BW13" s="166"/>
      <c r="BX13" s="166"/>
      <c r="BY13" s="168"/>
      <c r="BZ13" s="1453"/>
      <c r="CA13" s="160"/>
      <c r="CB13" s="160"/>
      <c r="CC13" s="161"/>
      <c r="CD13" s="365"/>
      <c r="CE13" s="193"/>
      <c r="CF13" s="193"/>
      <c r="CG13" s="210"/>
      <c r="CH13" s="194"/>
      <c r="CI13" s="195"/>
      <c r="CJ13" s="195"/>
      <c r="CK13" s="211"/>
      <c r="CL13" s="169"/>
      <c r="CM13" s="170"/>
      <c r="CN13" s="170"/>
      <c r="CO13" s="171"/>
      <c r="CP13" s="212"/>
      <c r="CQ13" s="197"/>
      <c r="CR13" s="197"/>
      <c r="CS13" s="198"/>
      <c r="CT13" s="851"/>
      <c r="CU13" s="195"/>
      <c r="CV13" s="195"/>
      <c r="CW13" s="196"/>
      <c r="CX13" s="212"/>
      <c r="CY13" s="197"/>
      <c r="CZ13" s="197"/>
      <c r="DA13" s="198"/>
    </row>
    <row r="14" spans="1:105" s="1043" customFormat="1" ht="15" thickBot="1">
      <c r="A14" s="1023" t="s">
        <v>29</v>
      </c>
      <c r="B14" s="1024">
        <f>B10</f>
        <v>25781048</v>
      </c>
      <c r="C14" s="1025">
        <f>C10</f>
        <v>21118022</v>
      </c>
      <c r="D14" s="1025">
        <f aca="true" t="shared" si="13" ref="D14:AS14">D10</f>
        <v>75112612</v>
      </c>
      <c r="E14" s="1026">
        <f t="shared" si="13"/>
        <v>59030033</v>
      </c>
      <c r="F14" s="1027">
        <f t="shared" si="13"/>
        <v>2242553</v>
      </c>
      <c r="G14" s="1027">
        <f t="shared" si="13"/>
        <v>2208705</v>
      </c>
      <c r="H14" s="1027">
        <f t="shared" si="13"/>
        <v>5688819</v>
      </c>
      <c r="I14" s="1028">
        <f t="shared" si="13"/>
        <v>5312067</v>
      </c>
      <c r="J14" s="1024">
        <f t="shared" si="13"/>
        <v>5293318</v>
      </c>
      <c r="K14" s="1027">
        <f t="shared" si="13"/>
        <v>5291587</v>
      </c>
      <c r="L14" s="1027">
        <f t="shared" si="13"/>
        <v>12649372</v>
      </c>
      <c r="M14" s="1029">
        <f t="shared" si="13"/>
        <v>13442164</v>
      </c>
      <c r="N14" s="1024">
        <f t="shared" si="13"/>
        <v>32899259</v>
      </c>
      <c r="O14" s="1027">
        <f t="shared" si="13"/>
        <v>26700077</v>
      </c>
      <c r="P14" s="1027">
        <f t="shared" si="13"/>
        <v>88571627</v>
      </c>
      <c r="Q14" s="1029">
        <f t="shared" si="13"/>
        <v>75783746</v>
      </c>
      <c r="R14" s="1027">
        <f t="shared" si="13"/>
        <v>7162873</v>
      </c>
      <c r="S14" s="1027">
        <f t="shared" si="13"/>
        <v>6199261</v>
      </c>
      <c r="T14" s="1027">
        <f t="shared" si="13"/>
        <v>20755020</v>
      </c>
      <c r="U14" s="1028">
        <f t="shared" si="13"/>
        <v>16843914</v>
      </c>
      <c r="V14" s="1024">
        <f t="shared" si="13"/>
        <v>12324317</v>
      </c>
      <c r="W14" s="1027">
        <f t="shared" si="13"/>
        <v>9233485</v>
      </c>
      <c r="X14" s="1027">
        <f t="shared" si="13"/>
        <v>34907448</v>
      </c>
      <c r="Y14" s="1029">
        <f t="shared" si="13"/>
        <v>27810569</v>
      </c>
      <c r="Z14" s="1024">
        <f t="shared" si="13"/>
        <v>4231151</v>
      </c>
      <c r="AA14" s="1027">
        <f t="shared" si="13"/>
        <v>5842448</v>
      </c>
      <c r="AB14" s="1027">
        <f t="shared" si="13"/>
        <v>18168603</v>
      </c>
      <c r="AC14" s="1029">
        <f t="shared" si="13"/>
        <v>18444591</v>
      </c>
      <c r="AD14" s="1024">
        <f t="shared" si="13"/>
        <v>4071791</v>
      </c>
      <c r="AE14" s="1027">
        <f t="shared" si="13"/>
        <v>3103259</v>
      </c>
      <c r="AF14" s="1027">
        <f t="shared" si="13"/>
        <v>9193110</v>
      </c>
      <c r="AG14" s="1029">
        <f t="shared" si="13"/>
        <v>6382596</v>
      </c>
      <c r="AH14" s="1024">
        <f t="shared" si="13"/>
        <v>10913038</v>
      </c>
      <c r="AI14" s="1027">
        <f t="shared" si="13"/>
        <v>9345996</v>
      </c>
      <c r="AJ14" s="1027">
        <f t="shared" si="13"/>
        <v>28861971</v>
      </c>
      <c r="AK14" s="1029">
        <f t="shared" si="13"/>
        <v>25318866</v>
      </c>
      <c r="AL14" s="1024">
        <f t="shared" si="13"/>
        <v>5362055</v>
      </c>
      <c r="AM14" s="1027">
        <f t="shared" si="13"/>
        <v>4046853</v>
      </c>
      <c r="AN14" s="1027">
        <f t="shared" si="13"/>
        <v>12431647</v>
      </c>
      <c r="AO14" s="1029">
        <f t="shared" si="13"/>
        <v>9922933</v>
      </c>
      <c r="AP14" s="1024">
        <f t="shared" si="13"/>
        <v>103264647</v>
      </c>
      <c r="AQ14" s="1027">
        <f t="shared" si="13"/>
        <v>89564412</v>
      </c>
      <c r="AR14" s="1027">
        <f t="shared" si="13"/>
        <v>291860241</v>
      </c>
      <c r="AS14" s="1028">
        <f t="shared" si="13"/>
        <v>235644133</v>
      </c>
      <c r="AT14" s="1031">
        <f aca="true" t="shared" si="14" ref="AT14:BF14">AT10</f>
        <v>101636262</v>
      </c>
      <c r="AU14" s="1447">
        <f t="shared" si="14"/>
        <v>87289228</v>
      </c>
      <c r="AV14" s="1447">
        <f t="shared" si="14"/>
        <v>309297742</v>
      </c>
      <c r="AW14" s="1450">
        <f t="shared" si="14"/>
        <v>270687692</v>
      </c>
      <c r="AX14" s="1031">
        <f t="shared" si="14"/>
        <v>7088559</v>
      </c>
      <c r="AY14" s="1447">
        <f t="shared" si="14"/>
        <v>6502609</v>
      </c>
      <c r="AZ14" s="1447">
        <f t="shared" si="14"/>
        <v>19325167</v>
      </c>
      <c r="BA14" s="1448">
        <f t="shared" si="14"/>
        <v>17832407</v>
      </c>
      <c r="BB14" s="1033">
        <f t="shared" si="14"/>
        <v>1184.46</v>
      </c>
      <c r="BC14" s="1034">
        <f t="shared" si="14"/>
        <v>1007.06</v>
      </c>
      <c r="BD14" s="1034">
        <f t="shared" si="14"/>
        <v>3212.5600000000004</v>
      </c>
      <c r="BE14" s="1035">
        <f t="shared" si="14"/>
        <v>2309.0099999999998</v>
      </c>
      <c r="BF14" s="1030">
        <f t="shared" si="14"/>
        <v>34266078</v>
      </c>
      <c r="BG14" s="1031">
        <f aca="true" t="shared" si="15" ref="BG14:BQ14">BG10</f>
        <v>27787815</v>
      </c>
      <c r="BH14" s="1031">
        <f t="shared" si="15"/>
        <v>81682903</v>
      </c>
      <c r="BI14" s="1452">
        <f t="shared" si="15"/>
        <v>65986722</v>
      </c>
      <c r="BJ14" s="1031">
        <f t="shared" si="15"/>
        <v>55209393</v>
      </c>
      <c r="BK14" s="1447">
        <f t="shared" si="15"/>
        <v>46484740</v>
      </c>
      <c r="BL14" s="1447">
        <f t="shared" si="15"/>
        <v>145752292</v>
      </c>
      <c r="BM14" s="1450">
        <f t="shared" si="15"/>
        <v>125008920</v>
      </c>
      <c r="BN14" s="1031">
        <f t="shared" si="15"/>
        <v>17820145</v>
      </c>
      <c r="BO14" s="1447">
        <f t="shared" si="15"/>
        <v>14669617</v>
      </c>
      <c r="BP14" s="1447">
        <f t="shared" si="15"/>
        <v>47771966</v>
      </c>
      <c r="BQ14" s="1448">
        <f t="shared" si="15"/>
        <v>39535108</v>
      </c>
      <c r="BR14" s="1030">
        <f>BR10</f>
        <v>15154864</v>
      </c>
      <c r="BS14" s="1031">
        <f aca="true" t="shared" si="16" ref="BS14:BY14">BS10</f>
        <v>13865793</v>
      </c>
      <c r="BT14" s="1031">
        <f t="shared" si="16"/>
        <v>43579268</v>
      </c>
      <c r="BU14" s="1452">
        <f t="shared" si="16"/>
        <v>40693707</v>
      </c>
      <c r="BV14" s="1031">
        <f t="shared" si="16"/>
        <v>0</v>
      </c>
      <c r="BW14" s="1447">
        <f t="shared" si="16"/>
        <v>0</v>
      </c>
      <c r="BX14" s="1447">
        <f t="shared" si="16"/>
        <v>0</v>
      </c>
      <c r="BY14" s="1450">
        <f t="shared" si="16"/>
        <v>0</v>
      </c>
      <c r="BZ14" s="1036">
        <f>BZ10</f>
        <v>113759982</v>
      </c>
      <c r="CA14" s="1454">
        <f>CA10</f>
        <v>92900912</v>
      </c>
      <c r="CB14" s="1454">
        <f>CB10</f>
        <v>329894213</v>
      </c>
      <c r="CC14" s="1455">
        <f>CC10</f>
        <v>253541895</v>
      </c>
      <c r="CD14" s="1037"/>
      <c r="CE14" s="1038"/>
      <c r="CF14" s="1038"/>
      <c r="CG14" s="1457"/>
      <c r="CH14" s="1040">
        <f>CH10</f>
        <v>7833855</v>
      </c>
      <c r="CI14" s="1041">
        <f aca="true" t="shared" si="17" ref="CI14:CO14">CI10</f>
        <v>6851632</v>
      </c>
      <c r="CJ14" s="1041">
        <f t="shared" si="17"/>
        <v>19940744</v>
      </c>
      <c r="CK14" s="1460">
        <f t="shared" si="17"/>
        <v>17830066</v>
      </c>
      <c r="CL14" s="1040">
        <f t="shared" si="17"/>
        <v>25472798</v>
      </c>
      <c r="CM14" s="1041">
        <f t="shared" si="17"/>
        <v>16911714</v>
      </c>
      <c r="CN14" s="1041">
        <f t="shared" si="17"/>
        <v>60697636</v>
      </c>
      <c r="CO14" s="1042">
        <f t="shared" si="17"/>
        <v>41629501</v>
      </c>
      <c r="CP14" s="1030">
        <f t="shared" si="2"/>
        <v>591789170.46</v>
      </c>
      <c r="CQ14" s="1031">
        <f t="shared" si="0"/>
        <v>495919172.06</v>
      </c>
      <c r="CR14" s="1031">
        <f t="shared" si="0"/>
        <v>1656145613.56</v>
      </c>
      <c r="CS14" s="1032">
        <f t="shared" si="0"/>
        <v>1366683939.01</v>
      </c>
      <c r="CT14" s="1039">
        <f>CT10</f>
        <v>1111135533</v>
      </c>
      <c r="CU14" s="1041">
        <f>CU10</f>
        <v>940920483</v>
      </c>
      <c r="CV14" s="1041">
        <f>CV10</f>
        <v>3075050711</v>
      </c>
      <c r="CW14" s="1042">
        <f>CW10</f>
        <v>3182232056</v>
      </c>
      <c r="CX14" s="1030">
        <f t="shared" si="3"/>
        <v>1702924703.46</v>
      </c>
      <c r="CY14" s="1031">
        <f t="shared" si="1"/>
        <v>1436839655.06</v>
      </c>
      <c r="CZ14" s="1031">
        <f t="shared" si="1"/>
        <v>4731196324.559999</v>
      </c>
      <c r="DA14" s="1032">
        <f t="shared" si="1"/>
        <v>4548915995.01</v>
      </c>
    </row>
  </sheetData>
  <sheetProtection/>
  <mergeCells count="29">
    <mergeCell ref="BF3:BI3"/>
    <mergeCell ref="BJ3:BM3"/>
    <mergeCell ref="BN3:BQ3"/>
    <mergeCell ref="AT3:AW3"/>
    <mergeCell ref="J3:M3"/>
    <mergeCell ref="N3:Q3"/>
    <mergeCell ref="R3:U3"/>
    <mergeCell ref="V3:Y3"/>
    <mergeCell ref="Z3:AC3"/>
    <mergeCell ref="BZ3:CC3"/>
    <mergeCell ref="CD3:CG3"/>
    <mergeCell ref="CH3:CK3"/>
    <mergeCell ref="BV3:BY3"/>
    <mergeCell ref="AD3:AG3"/>
    <mergeCell ref="AH3:AK3"/>
    <mergeCell ref="AL3:AO3"/>
    <mergeCell ref="AP3:AS3"/>
    <mergeCell ref="AX3:BA3"/>
    <mergeCell ref="BB3:BE3"/>
    <mergeCell ref="CL3:CO3"/>
    <mergeCell ref="CP3:CS3"/>
    <mergeCell ref="CT3:CW3"/>
    <mergeCell ref="A1:CY1"/>
    <mergeCell ref="A2:CY2"/>
    <mergeCell ref="A3:A4"/>
    <mergeCell ref="B3:E3"/>
    <mergeCell ref="F3:I3"/>
    <mergeCell ref="BR3:BU3"/>
    <mergeCell ref="CX3:DA3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A25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W19" sqref="CW19"/>
    </sheetView>
  </sheetViews>
  <sheetFormatPr defaultColWidth="9.140625" defaultRowHeight="15"/>
  <cols>
    <col min="1" max="1" width="36.57421875" style="280" customWidth="1"/>
    <col min="2" max="3" width="11.421875" style="280" bestFit="1" customWidth="1"/>
    <col min="4" max="4" width="12.421875" style="280" bestFit="1" customWidth="1"/>
    <col min="5" max="5" width="13.28125" style="280" bestFit="1" customWidth="1"/>
    <col min="6" max="7" width="12.28125" style="280" customWidth="1"/>
    <col min="8" max="8" width="13.7109375" style="280" customWidth="1"/>
    <col min="9" max="9" width="13.421875" style="280" customWidth="1"/>
    <col min="10" max="11" width="11.421875" style="280" bestFit="1" customWidth="1"/>
    <col min="12" max="12" width="12.421875" style="280" bestFit="1" customWidth="1"/>
    <col min="13" max="13" width="13.28125" style="280" bestFit="1" customWidth="1"/>
    <col min="14" max="15" width="11.421875" style="280" bestFit="1" customWidth="1"/>
    <col min="16" max="16" width="12.421875" style="280" bestFit="1" customWidth="1"/>
    <col min="17" max="17" width="13.28125" style="280" bestFit="1" customWidth="1"/>
    <col min="18" max="19" width="11.421875" style="280" bestFit="1" customWidth="1"/>
    <col min="20" max="20" width="12.421875" style="280" bestFit="1" customWidth="1"/>
    <col min="21" max="21" width="13.28125" style="280" bestFit="1" customWidth="1"/>
    <col min="22" max="23" width="11.421875" style="280" bestFit="1" customWidth="1"/>
    <col min="24" max="24" width="12.421875" style="280" bestFit="1" customWidth="1"/>
    <col min="25" max="25" width="13.28125" style="280" bestFit="1" customWidth="1"/>
    <col min="26" max="27" width="11.421875" style="280" bestFit="1" customWidth="1"/>
    <col min="28" max="28" width="12.421875" style="280" bestFit="1" customWidth="1"/>
    <col min="29" max="29" width="13.28125" style="280" bestFit="1" customWidth="1"/>
    <col min="30" max="31" width="11.421875" style="280" bestFit="1" customWidth="1"/>
    <col min="32" max="32" width="12.421875" style="280" bestFit="1" customWidth="1"/>
    <col min="33" max="33" width="13.28125" style="280" bestFit="1" customWidth="1"/>
    <col min="34" max="35" width="11.421875" style="280" bestFit="1" customWidth="1"/>
    <col min="36" max="36" width="12.421875" style="280" bestFit="1" customWidth="1"/>
    <col min="37" max="37" width="13.28125" style="280" bestFit="1" customWidth="1"/>
    <col min="38" max="38" width="8.7109375" style="280" customWidth="1"/>
    <col min="39" max="39" width="8.28125" style="280" customWidth="1"/>
    <col min="40" max="40" width="8.421875" style="280" customWidth="1"/>
    <col min="41" max="41" width="13.28125" style="280" bestFit="1" customWidth="1"/>
    <col min="42" max="43" width="11.421875" style="280" bestFit="1" customWidth="1"/>
    <col min="44" max="44" width="12.421875" style="280" bestFit="1" customWidth="1"/>
    <col min="45" max="45" width="13.28125" style="280" bestFit="1" customWidth="1"/>
    <col min="46" max="47" width="11.421875" style="280" bestFit="1" customWidth="1"/>
    <col min="48" max="48" width="12.421875" style="280" bestFit="1" customWidth="1"/>
    <col min="49" max="49" width="13.28125" style="280" bestFit="1" customWidth="1"/>
    <col min="50" max="51" width="11.421875" style="280" bestFit="1" customWidth="1"/>
    <col min="52" max="52" width="12.421875" style="280" bestFit="1" customWidth="1"/>
    <col min="53" max="53" width="13.28125" style="280" bestFit="1" customWidth="1"/>
    <col min="54" max="55" width="11.421875" style="280" bestFit="1" customWidth="1"/>
    <col min="56" max="56" width="12.421875" style="280" bestFit="1" customWidth="1"/>
    <col min="57" max="57" width="13.28125" style="280" bestFit="1" customWidth="1"/>
    <col min="58" max="59" width="11.421875" style="280" bestFit="1" customWidth="1"/>
    <col min="60" max="60" width="12.421875" style="280" bestFit="1" customWidth="1"/>
    <col min="61" max="61" width="13.28125" style="280" bestFit="1" customWidth="1"/>
    <col min="62" max="63" width="11.421875" style="280" bestFit="1" customWidth="1"/>
    <col min="64" max="64" width="12.421875" style="280" bestFit="1" customWidth="1"/>
    <col min="65" max="65" width="13.28125" style="280" bestFit="1" customWidth="1"/>
    <col min="66" max="67" width="11.421875" style="280" bestFit="1" customWidth="1"/>
    <col min="68" max="68" width="12.421875" style="280" bestFit="1" customWidth="1"/>
    <col min="69" max="69" width="13.28125" style="280" bestFit="1" customWidth="1"/>
    <col min="70" max="71" width="11.421875" style="280" bestFit="1" customWidth="1"/>
    <col min="72" max="72" width="12.421875" style="280" bestFit="1" customWidth="1"/>
    <col min="73" max="73" width="13.28125" style="280" bestFit="1" customWidth="1"/>
    <col min="74" max="75" width="11.421875" style="280" bestFit="1" customWidth="1"/>
    <col min="76" max="76" width="12.421875" style="280" bestFit="1" customWidth="1"/>
    <col min="77" max="77" width="13.28125" style="280" bestFit="1" customWidth="1"/>
    <col min="78" max="79" width="11.421875" style="280" customWidth="1"/>
    <col min="80" max="80" width="12.421875" style="280" bestFit="1" customWidth="1"/>
    <col min="81" max="81" width="13.28125" style="280" bestFit="1" customWidth="1"/>
    <col min="82" max="83" width="11.421875" style="280" bestFit="1" customWidth="1"/>
    <col min="84" max="84" width="12.421875" style="280" bestFit="1" customWidth="1"/>
    <col min="85" max="85" width="13.28125" style="280" bestFit="1" customWidth="1"/>
    <col min="86" max="87" width="11.421875" style="280" bestFit="1" customWidth="1"/>
    <col min="88" max="88" width="12.421875" style="280" bestFit="1" customWidth="1"/>
    <col min="89" max="89" width="13.28125" style="280" bestFit="1" customWidth="1"/>
    <col min="90" max="91" width="11.421875" style="280" bestFit="1" customWidth="1"/>
    <col min="92" max="92" width="12.421875" style="280" bestFit="1" customWidth="1"/>
    <col min="93" max="93" width="13.28125" style="280" bestFit="1" customWidth="1"/>
    <col min="94" max="95" width="11.421875" style="280" bestFit="1" customWidth="1"/>
    <col min="96" max="96" width="12.421875" style="280" bestFit="1" customWidth="1"/>
    <col min="97" max="97" width="13.28125" style="280" bestFit="1" customWidth="1"/>
    <col min="98" max="99" width="11.421875" style="280" bestFit="1" customWidth="1"/>
    <col min="100" max="100" width="12.421875" style="280" bestFit="1" customWidth="1"/>
    <col min="101" max="101" width="13.28125" style="280" bestFit="1" customWidth="1"/>
    <col min="102" max="103" width="11.421875" style="280" bestFit="1" customWidth="1"/>
    <col min="104" max="104" width="12.421875" style="280" bestFit="1" customWidth="1"/>
    <col min="105" max="105" width="13.28125" style="280" bestFit="1" customWidth="1"/>
    <col min="106" max="16384" width="9.140625" style="280" customWidth="1"/>
  </cols>
  <sheetData>
    <row r="1" spans="1:103" s="358" customFormat="1" ht="14.25">
      <c r="A1" s="1687" t="s">
        <v>185</v>
      </c>
      <c r="B1" s="1687"/>
      <c r="C1" s="1687"/>
      <c r="D1" s="1687"/>
      <c r="E1" s="1687"/>
      <c r="F1" s="1687"/>
      <c r="G1" s="1687"/>
      <c r="H1" s="1687"/>
      <c r="I1" s="1687"/>
      <c r="J1" s="1687"/>
      <c r="K1" s="1687"/>
      <c r="L1" s="1687"/>
      <c r="M1" s="1687"/>
      <c r="N1" s="1687"/>
      <c r="O1" s="1687"/>
      <c r="P1" s="1687"/>
      <c r="Q1" s="1687"/>
      <c r="R1" s="1687"/>
      <c r="S1" s="1687"/>
      <c r="T1" s="1687"/>
      <c r="U1" s="1687"/>
      <c r="V1" s="1687"/>
      <c r="W1" s="1687"/>
      <c r="X1" s="1687"/>
      <c r="Y1" s="1687"/>
      <c r="Z1" s="1687"/>
      <c r="AA1" s="1687"/>
      <c r="AB1" s="1687"/>
      <c r="AC1" s="1687"/>
      <c r="AD1" s="1687"/>
      <c r="AE1" s="1687"/>
      <c r="AF1" s="1687"/>
      <c r="AG1" s="1687"/>
      <c r="AH1" s="1687"/>
      <c r="AI1" s="1687"/>
      <c r="AJ1" s="1687"/>
      <c r="AK1" s="1687"/>
      <c r="AL1" s="1687"/>
      <c r="AM1" s="1687"/>
      <c r="AN1" s="1687"/>
      <c r="AO1" s="1687"/>
      <c r="AP1" s="1687"/>
      <c r="AQ1" s="1687"/>
      <c r="AR1" s="1687"/>
      <c r="AS1" s="1687"/>
      <c r="AT1" s="1687"/>
      <c r="AU1" s="1687"/>
      <c r="AV1" s="1687"/>
      <c r="AW1" s="1687"/>
      <c r="AX1" s="1687"/>
      <c r="AY1" s="1687"/>
      <c r="AZ1" s="1687"/>
      <c r="BA1" s="1687"/>
      <c r="BB1" s="1687"/>
      <c r="BC1" s="1687"/>
      <c r="BD1" s="1687"/>
      <c r="BE1" s="1687"/>
      <c r="BF1" s="1687"/>
      <c r="BG1" s="1687"/>
      <c r="BH1" s="1687"/>
      <c r="BI1" s="1687"/>
      <c r="BJ1" s="1687"/>
      <c r="BK1" s="1687"/>
      <c r="BL1" s="1687"/>
      <c r="BM1" s="1687"/>
      <c r="BN1" s="1687"/>
      <c r="BO1" s="1687"/>
      <c r="BP1" s="1687"/>
      <c r="BQ1" s="1687"/>
      <c r="BR1" s="1687"/>
      <c r="BS1" s="1687"/>
      <c r="BT1" s="1687"/>
      <c r="BU1" s="1687"/>
      <c r="BV1" s="1687"/>
      <c r="BW1" s="1687"/>
      <c r="BX1" s="1687"/>
      <c r="BY1" s="1687"/>
      <c r="BZ1" s="1687"/>
      <c r="CA1" s="1687"/>
      <c r="CB1" s="1687"/>
      <c r="CC1" s="1687"/>
      <c r="CD1" s="1687"/>
      <c r="CE1" s="1687"/>
      <c r="CF1" s="1687"/>
      <c r="CG1" s="1687"/>
      <c r="CH1" s="1687"/>
      <c r="CI1" s="1687"/>
      <c r="CJ1" s="1687"/>
      <c r="CK1" s="1687"/>
      <c r="CL1" s="1687"/>
      <c r="CM1" s="1687"/>
      <c r="CN1" s="1687"/>
      <c r="CO1" s="1687"/>
      <c r="CP1" s="1687"/>
      <c r="CQ1" s="1687"/>
      <c r="CR1" s="1687"/>
      <c r="CS1" s="1687"/>
      <c r="CT1" s="1687"/>
      <c r="CU1" s="1687"/>
      <c r="CV1" s="1687"/>
      <c r="CW1" s="1687"/>
      <c r="CX1" s="1687"/>
      <c r="CY1" s="1687"/>
    </row>
    <row r="2" spans="1:103" s="1044" customFormat="1" ht="14.25" thickBot="1">
      <c r="A2" s="1721" t="s">
        <v>62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  <c r="R2" s="1721"/>
      <c r="S2" s="1721"/>
      <c r="T2" s="1721"/>
      <c r="U2" s="1721"/>
      <c r="V2" s="1721"/>
      <c r="W2" s="1721"/>
      <c r="X2" s="1721"/>
      <c r="Y2" s="1721"/>
      <c r="Z2" s="1721"/>
      <c r="AA2" s="1721"/>
      <c r="AB2" s="1721"/>
      <c r="AC2" s="1721"/>
      <c r="AD2" s="1721"/>
      <c r="AE2" s="1721"/>
      <c r="AF2" s="1721"/>
      <c r="AG2" s="1721"/>
      <c r="AH2" s="1721"/>
      <c r="AI2" s="1721"/>
      <c r="AJ2" s="1721"/>
      <c r="AK2" s="1721"/>
      <c r="AL2" s="1721"/>
      <c r="AM2" s="1721"/>
      <c r="AN2" s="1721"/>
      <c r="AO2" s="1721"/>
      <c r="AP2" s="1721"/>
      <c r="AQ2" s="1721"/>
      <c r="AR2" s="1721"/>
      <c r="AS2" s="1721"/>
      <c r="AT2" s="1721"/>
      <c r="AU2" s="1721"/>
      <c r="AV2" s="1721"/>
      <c r="AW2" s="1721"/>
      <c r="AX2" s="1721"/>
      <c r="AY2" s="1721"/>
      <c r="AZ2" s="1721"/>
      <c r="BA2" s="1721"/>
      <c r="BB2" s="1721"/>
      <c r="BC2" s="1721"/>
      <c r="BD2" s="1721"/>
      <c r="BE2" s="1721"/>
      <c r="BF2" s="1721"/>
      <c r="BG2" s="1721"/>
      <c r="BH2" s="1721"/>
      <c r="BI2" s="1721"/>
      <c r="BJ2" s="1721"/>
      <c r="BK2" s="1721"/>
      <c r="BL2" s="1721"/>
      <c r="BM2" s="1721"/>
      <c r="BN2" s="1721"/>
      <c r="BO2" s="1721"/>
      <c r="BP2" s="1721"/>
      <c r="BQ2" s="1721"/>
      <c r="BR2" s="1721"/>
      <c r="BS2" s="1721"/>
      <c r="BT2" s="1721"/>
      <c r="BU2" s="1721"/>
      <c r="BV2" s="1721"/>
      <c r="BW2" s="1721"/>
      <c r="BX2" s="1721"/>
      <c r="BY2" s="1721"/>
      <c r="BZ2" s="1721"/>
      <c r="CA2" s="1721"/>
      <c r="CB2" s="1721"/>
      <c r="CC2" s="1721"/>
      <c r="CD2" s="1721"/>
      <c r="CE2" s="1721"/>
      <c r="CF2" s="1721"/>
      <c r="CG2" s="1721"/>
      <c r="CH2" s="1721"/>
      <c r="CI2" s="1721"/>
      <c r="CJ2" s="1721"/>
      <c r="CK2" s="1721"/>
      <c r="CL2" s="1721"/>
      <c r="CM2" s="1721"/>
      <c r="CN2" s="1721"/>
      <c r="CO2" s="1721"/>
      <c r="CP2" s="1721"/>
      <c r="CQ2" s="1721"/>
      <c r="CR2" s="1721"/>
      <c r="CS2" s="1721"/>
      <c r="CT2" s="1721"/>
      <c r="CU2" s="1721"/>
      <c r="CV2" s="1721"/>
      <c r="CW2" s="1721"/>
      <c r="CX2" s="1721"/>
      <c r="CY2" s="1721"/>
    </row>
    <row r="3" spans="1:105" ht="15" thickBot="1">
      <c r="A3" s="1722" t="s">
        <v>0</v>
      </c>
      <c r="B3" s="1722" t="s">
        <v>190</v>
      </c>
      <c r="C3" s="1724"/>
      <c r="D3" s="1724"/>
      <c r="E3" s="1724"/>
      <c r="F3" s="1717" t="s">
        <v>191</v>
      </c>
      <c r="G3" s="1718"/>
      <c r="H3" s="1718"/>
      <c r="I3" s="1719"/>
      <c r="J3" s="1718" t="s">
        <v>192</v>
      </c>
      <c r="K3" s="1718"/>
      <c r="L3" s="1718"/>
      <c r="M3" s="1718"/>
      <c r="N3" s="1717" t="s">
        <v>193</v>
      </c>
      <c r="O3" s="1718"/>
      <c r="P3" s="1718"/>
      <c r="Q3" s="1718"/>
      <c r="R3" s="1717" t="s">
        <v>194</v>
      </c>
      <c r="S3" s="1718"/>
      <c r="T3" s="1718"/>
      <c r="U3" s="1718"/>
      <c r="V3" s="1717" t="s">
        <v>195</v>
      </c>
      <c r="W3" s="1718"/>
      <c r="X3" s="1718"/>
      <c r="Y3" s="1719"/>
      <c r="Z3" s="1717" t="s">
        <v>196</v>
      </c>
      <c r="AA3" s="1718"/>
      <c r="AB3" s="1718"/>
      <c r="AC3" s="1719"/>
      <c r="AD3" s="1718" t="s">
        <v>197</v>
      </c>
      <c r="AE3" s="1718"/>
      <c r="AF3" s="1718"/>
      <c r="AG3" s="1718"/>
      <c r="AH3" s="1717" t="s">
        <v>198</v>
      </c>
      <c r="AI3" s="1718"/>
      <c r="AJ3" s="1718"/>
      <c r="AK3" s="1719"/>
      <c r="AL3" s="1718" t="s">
        <v>199</v>
      </c>
      <c r="AM3" s="1718"/>
      <c r="AN3" s="1718"/>
      <c r="AO3" s="1719"/>
      <c r="AP3" s="1718" t="s">
        <v>200</v>
      </c>
      <c r="AQ3" s="1718"/>
      <c r="AR3" s="1718"/>
      <c r="AS3" s="1719"/>
      <c r="AT3" s="1718" t="s">
        <v>201</v>
      </c>
      <c r="AU3" s="1718"/>
      <c r="AV3" s="1718"/>
      <c r="AW3" s="1719"/>
      <c r="AX3" s="1718" t="s">
        <v>202</v>
      </c>
      <c r="AY3" s="1718"/>
      <c r="AZ3" s="1718"/>
      <c r="BA3" s="1718"/>
      <c r="BB3" s="1717" t="s">
        <v>203</v>
      </c>
      <c r="BC3" s="1718"/>
      <c r="BD3" s="1718"/>
      <c r="BE3" s="1719"/>
      <c r="BF3" s="1720" t="s">
        <v>204</v>
      </c>
      <c r="BG3" s="1720"/>
      <c r="BH3" s="1720"/>
      <c r="BI3" s="1720"/>
      <c r="BJ3" s="1717" t="s">
        <v>205</v>
      </c>
      <c r="BK3" s="1718"/>
      <c r="BL3" s="1718"/>
      <c r="BM3" s="1718"/>
      <c r="BN3" s="1717" t="s">
        <v>206</v>
      </c>
      <c r="BO3" s="1718"/>
      <c r="BP3" s="1718"/>
      <c r="BQ3" s="1718"/>
      <c r="BR3" s="1717" t="s">
        <v>207</v>
      </c>
      <c r="BS3" s="1718"/>
      <c r="BT3" s="1718"/>
      <c r="BU3" s="1718"/>
      <c r="BV3" s="1725" t="s">
        <v>208</v>
      </c>
      <c r="BW3" s="1720"/>
      <c r="BX3" s="1720"/>
      <c r="BY3" s="1720"/>
      <c r="BZ3" s="1717" t="s">
        <v>209</v>
      </c>
      <c r="CA3" s="1718"/>
      <c r="CB3" s="1718"/>
      <c r="CC3" s="1718"/>
      <c r="CD3" s="1717" t="s">
        <v>210</v>
      </c>
      <c r="CE3" s="1718"/>
      <c r="CF3" s="1718"/>
      <c r="CG3" s="1718"/>
      <c r="CH3" s="1717" t="s">
        <v>211</v>
      </c>
      <c r="CI3" s="1718"/>
      <c r="CJ3" s="1718"/>
      <c r="CK3" s="1718"/>
      <c r="CL3" s="1717" t="s">
        <v>212</v>
      </c>
      <c r="CM3" s="1718"/>
      <c r="CN3" s="1718"/>
      <c r="CO3" s="1718"/>
      <c r="CP3" s="1717" t="s">
        <v>1</v>
      </c>
      <c r="CQ3" s="1718"/>
      <c r="CR3" s="1718"/>
      <c r="CS3" s="1718"/>
      <c r="CT3" s="1725" t="s">
        <v>213</v>
      </c>
      <c r="CU3" s="1720"/>
      <c r="CV3" s="1720"/>
      <c r="CW3" s="1720"/>
      <c r="CX3" s="1725" t="s">
        <v>2</v>
      </c>
      <c r="CY3" s="1720"/>
      <c r="CZ3" s="1720"/>
      <c r="DA3" s="1726"/>
    </row>
    <row r="4" spans="1:105" s="1044" customFormat="1" ht="14.25" thickBot="1">
      <c r="A4" s="1723"/>
      <c r="B4" s="993" t="s">
        <v>285</v>
      </c>
      <c r="C4" s="994" t="s">
        <v>286</v>
      </c>
      <c r="D4" s="994" t="s">
        <v>287</v>
      </c>
      <c r="E4" s="994" t="s">
        <v>288</v>
      </c>
      <c r="F4" s="993" t="s">
        <v>285</v>
      </c>
      <c r="G4" s="994" t="s">
        <v>286</v>
      </c>
      <c r="H4" s="994" t="s">
        <v>287</v>
      </c>
      <c r="I4" s="995" t="s">
        <v>288</v>
      </c>
      <c r="J4" s="994" t="s">
        <v>285</v>
      </c>
      <c r="K4" s="994" t="s">
        <v>286</v>
      </c>
      <c r="L4" s="994" t="s">
        <v>287</v>
      </c>
      <c r="M4" s="994" t="s">
        <v>288</v>
      </c>
      <c r="N4" s="993" t="s">
        <v>285</v>
      </c>
      <c r="O4" s="994" t="s">
        <v>286</v>
      </c>
      <c r="P4" s="994" t="s">
        <v>287</v>
      </c>
      <c r="Q4" s="994" t="s">
        <v>288</v>
      </c>
      <c r="R4" s="993" t="s">
        <v>285</v>
      </c>
      <c r="S4" s="994" t="s">
        <v>286</v>
      </c>
      <c r="T4" s="994" t="s">
        <v>287</v>
      </c>
      <c r="U4" s="994" t="s">
        <v>288</v>
      </c>
      <c r="V4" s="993" t="s">
        <v>285</v>
      </c>
      <c r="W4" s="994" t="s">
        <v>286</v>
      </c>
      <c r="X4" s="994" t="s">
        <v>287</v>
      </c>
      <c r="Y4" s="995" t="s">
        <v>288</v>
      </c>
      <c r="Z4" s="993" t="s">
        <v>285</v>
      </c>
      <c r="AA4" s="994" t="s">
        <v>286</v>
      </c>
      <c r="AB4" s="994" t="s">
        <v>287</v>
      </c>
      <c r="AC4" s="995" t="s">
        <v>288</v>
      </c>
      <c r="AD4" s="994" t="s">
        <v>285</v>
      </c>
      <c r="AE4" s="994" t="s">
        <v>286</v>
      </c>
      <c r="AF4" s="994" t="s">
        <v>287</v>
      </c>
      <c r="AG4" s="994" t="s">
        <v>288</v>
      </c>
      <c r="AH4" s="993" t="s">
        <v>285</v>
      </c>
      <c r="AI4" s="994" t="s">
        <v>286</v>
      </c>
      <c r="AJ4" s="994" t="s">
        <v>287</v>
      </c>
      <c r="AK4" s="995" t="s">
        <v>288</v>
      </c>
      <c r="AL4" s="994" t="s">
        <v>285</v>
      </c>
      <c r="AM4" s="994" t="s">
        <v>286</v>
      </c>
      <c r="AN4" s="994" t="s">
        <v>287</v>
      </c>
      <c r="AO4" s="994" t="s">
        <v>288</v>
      </c>
      <c r="AP4" s="994" t="s">
        <v>285</v>
      </c>
      <c r="AQ4" s="994" t="s">
        <v>286</v>
      </c>
      <c r="AR4" s="994" t="s">
        <v>287</v>
      </c>
      <c r="AS4" s="994" t="s">
        <v>288</v>
      </c>
      <c r="AT4" s="994" t="s">
        <v>285</v>
      </c>
      <c r="AU4" s="994" t="s">
        <v>286</v>
      </c>
      <c r="AV4" s="994" t="s">
        <v>287</v>
      </c>
      <c r="AW4" s="994" t="s">
        <v>288</v>
      </c>
      <c r="AX4" s="994" t="s">
        <v>285</v>
      </c>
      <c r="AY4" s="994" t="s">
        <v>286</v>
      </c>
      <c r="AZ4" s="994" t="s">
        <v>287</v>
      </c>
      <c r="BA4" s="994" t="s">
        <v>288</v>
      </c>
      <c r="BB4" s="993" t="s">
        <v>285</v>
      </c>
      <c r="BC4" s="994" t="s">
        <v>286</v>
      </c>
      <c r="BD4" s="994" t="s">
        <v>287</v>
      </c>
      <c r="BE4" s="995" t="s">
        <v>293</v>
      </c>
      <c r="BF4" s="994" t="s">
        <v>285</v>
      </c>
      <c r="BG4" s="994" t="s">
        <v>286</v>
      </c>
      <c r="BH4" s="994" t="s">
        <v>287</v>
      </c>
      <c r="BI4" s="994" t="s">
        <v>288</v>
      </c>
      <c r="BJ4" s="993" t="s">
        <v>285</v>
      </c>
      <c r="BK4" s="994" t="s">
        <v>286</v>
      </c>
      <c r="BL4" s="994" t="s">
        <v>287</v>
      </c>
      <c r="BM4" s="994" t="s">
        <v>288</v>
      </c>
      <c r="BN4" s="993" t="s">
        <v>285</v>
      </c>
      <c r="BO4" s="994" t="s">
        <v>286</v>
      </c>
      <c r="BP4" s="994" t="s">
        <v>287</v>
      </c>
      <c r="BQ4" s="994" t="s">
        <v>288</v>
      </c>
      <c r="BR4" s="993" t="s">
        <v>285</v>
      </c>
      <c r="BS4" s="994" t="s">
        <v>286</v>
      </c>
      <c r="BT4" s="994" t="s">
        <v>287</v>
      </c>
      <c r="BU4" s="994" t="s">
        <v>288</v>
      </c>
      <c r="BV4" s="993" t="s">
        <v>285</v>
      </c>
      <c r="BW4" s="994" t="s">
        <v>286</v>
      </c>
      <c r="BX4" s="994" t="s">
        <v>287</v>
      </c>
      <c r="BY4" s="994" t="s">
        <v>288</v>
      </c>
      <c r="BZ4" s="993" t="s">
        <v>285</v>
      </c>
      <c r="CA4" s="994" t="s">
        <v>286</v>
      </c>
      <c r="CB4" s="994" t="s">
        <v>287</v>
      </c>
      <c r="CC4" s="994" t="s">
        <v>288</v>
      </c>
      <c r="CD4" s="993" t="s">
        <v>285</v>
      </c>
      <c r="CE4" s="994" t="s">
        <v>286</v>
      </c>
      <c r="CF4" s="994" t="s">
        <v>287</v>
      </c>
      <c r="CG4" s="994" t="s">
        <v>288</v>
      </c>
      <c r="CH4" s="993" t="s">
        <v>285</v>
      </c>
      <c r="CI4" s="994" t="s">
        <v>286</v>
      </c>
      <c r="CJ4" s="994" t="s">
        <v>287</v>
      </c>
      <c r="CK4" s="994" t="s">
        <v>288</v>
      </c>
      <c r="CL4" s="993" t="s">
        <v>285</v>
      </c>
      <c r="CM4" s="994" t="s">
        <v>286</v>
      </c>
      <c r="CN4" s="994" t="s">
        <v>287</v>
      </c>
      <c r="CO4" s="994" t="s">
        <v>288</v>
      </c>
      <c r="CP4" s="993" t="s">
        <v>285</v>
      </c>
      <c r="CQ4" s="994" t="s">
        <v>286</v>
      </c>
      <c r="CR4" s="994" t="s">
        <v>287</v>
      </c>
      <c r="CS4" s="994" t="s">
        <v>288</v>
      </c>
      <c r="CT4" s="993" t="s">
        <v>285</v>
      </c>
      <c r="CU4" s="994" t="s">
        <v>286</v>
      </c>
      <c r="CV4" s="994" t="s">
        <v>287</v>
      </c>
      <c r="CW4" s="994" t="s">
        <v>288</v>
      </c>
      <c r="CX4" s="993" t="s">
        <v>285</v>
      </c>
      <c r="CY4" s="994" t="s">
        <v>286</v>
      </c>
      <c r="CZ4" s="994" t="s">
        <v>287</v>
      </c>
      <c r="DA4" s="995" t="s">
        <v>288</v>
      </c>
    </row>
    <row r="5" spans="1:105" s="262" customFormat="1" ht="14.25">
      <c r="A5" s="838" t="s">
        <v>63</v>
      </c>
      <c r="B5" s="276"/>
      <c r="C5" s="274"/>
      <c r="D5" s="274"/>
      <c r="E5" s="277"/>
      <c r="F5" s="276"/>
      <c r="G5" s="274"/>
      <c r="H5" s="274"/>
      <c r="I5" s="272"/>
      <c r="J5" s="273"/>
      <c r="K5" s="274"/>
      <c r="L5" s="274"/>
      <c r="M5" s="277"/>
      <c r="N5" s="276"/>
      <c r="O5" s="274"/>
      <c r="P5" s="274"/>
      <c r="Q5" s="277"/>
      <c r="R5" s="276"/>
      <c r="S5" s="274"/>
      <c r="T5" s="274"/>
      <c r="U5" s="277"/>
      <c r="V5" s="276"/>
      <c r="W5" s="274"/>
      <c r="X5" s="274"/>
      <c r="Y5" s="272"/>
      <c r="Z5" s="276"/>
      <c r="AA5" s="274"/>
      <c r="AB5" s="274"/>
      <c r="AC5" s="272"/>
      <c r="AD5" s="273"/>
      <c r="AE5" s="274"/>
      <c r="AF5" s="274"/>
      <c r="AG5" s="277"/>
      <c r="AH5" s="276"/>
      <c r="AI5" s="274"/>
      <c r="AJ5" s="274"/>
      <c r="AK5" s="272"/>
      <c r="AL5" s="273"/>
      <c r="AM5" s="274"/>
      <c r="AN5" s="274"/>
      <c r="AO5" s="272"/>
      <c r="AP5" s="273"/>
      <c r="AQ5" s="274"/>
      <c r="AR5" s="274"/>
      <c r="AS5" s="272"/>
      <c r="AT5" s="273"/>
      <c r="AU5" s="274"/>
      <c r="AV5" s="274"/>
      <c r="AW5" s="272"/>
      <c r="AX5" s="273"/>
      <c r="AY5" s="274"/>
      <c r="AZ5" s="274"/>
      <c r="BA5" s="277"/>
      <c r="BB5" s="276"/>
      <c r="BC5" s="274"/>
      <c r="BD5" s="274"/>
      <c r="BE5" s="272"/>
      <c r="BF5" s="273"/>
      <c r="BG5" s="274"/>
      <c r="BH5" s="274"/>
      <c r="BI5" s="277"/>
      <c r="BJ5" s="276"/>
      <c r="BK5" s="274"/>
      <c r="BL5" s="274"/>
      <c r="BM5" s="277"/>
      <c r="BN5" s="276"/>
      <c r="BO5" s="274"/>
      <c r="BP5" s="274"/>
      <c r="BQ5" s="277"/>
      <c r="BR5" s="276"/>
      <c r="BS5" s="274"/>
      <c r="BT5" s="274"/>
      <c r="BU5" s="277"/>
      <c r="BV5" s="276"/>
      <c r="BW5" s="274"/>
      <c r="BX5" s="274"/>
      <c r="BY5" s="277"/>
      <c r="BZ5" s="276"/>
      <c r="CA5" s="274"/>
      <c r="CB5" s="274"/>
      <c r="CC5" s="277"/>
      <c r="CD5" s="276"/>
      <c r="CE5" s="274"/>
      <c r="CF5" s="274"/>
      <c r="CG5" s="277"/>
      <c r="CH5" s="276"/>
      <c r="CI5" s="274"/>
      <c r="CJ5" s="274"/>
      <c r="CK5" s="277"/>
      <c r="CL5" s="276"/>
      <c r="CM5" s="274"/>
      <c r="CN5" s="274"/>
      <c r="CO5" s="277"/>
      <c r="CP5" s="276"/>
      <c r="CQ5" s="274"/>
      <c r="CR5" s="274"/>
      <c r="CS5" s="277"/>
      <c r="CT5" s="276"/>
      <c r="CU5" s="274"/>
      <c r="CV5" s="274"/>
      <c r="CW5" s="277"/>
      <c r="CX5" s="276"/>
      <c r="CY5" s="274"/>
      <c r="CZ5" s="278"/>
      <c r="DA5" s="279"/>
    </row>
    <row r="6" spans="1:105" s="262" customFormat="1" ht="14.25">
      <c r="A6" s="281" t="s">
        <v>64</v>
      </c>
      <c r="B6" s="844">
        <v>1198198</v>
      </c>
      <c r="C6" s="184">
        <v>667495</v>
      </c>
      <c r="D6" s="184">
        <v>3058610</v>
      </c>
      <c r="E6" s="1045">
        <v>1715260</v>
      </c>
      <c r="F6" s="169">
        <v>6519</v>
      </c>
      <c r="G6" s="170">
        <v>8752</v>
      </c>
      <c r="H6" s="170">
        <v>13068</v>
      </c>
      <c r="I6" s="171">
        <v>27494</v>
      </c>
      <c r="J6" s="207">
        <v>-1561</v>
      </c>
      <c r="K6" s="170">
        <v>113360</v>
      </c>
      <c r="L6" s="170">
        <v>98940</v>
      </c>
      <c r="M6" s="186">
        <v>228766</v>
      </c>
      <c r="N6" s="169">
        <v>690104</v>
      </c>
      <c r="O6" s="170">
        <v>446829</v>
      </c>
      <c r="P6" s="170">
        <v>1868101</v>
      </c>
      <c r="Q6" s="186">
        <v>1245827</v>
      </c>
      <c r="R6" s="169">
        <v>443722</v>
      </c>
      <c r="S6" s="170">
        <v>353359</v>
      </c>
      <c r="T6" s="170">
        <v>1308905</v>
      </c>
      <c r="U6" s="186">
        <v>891264</v>
      </c>
      <c r="V6" s="169">
        <v>561487</v>
      </c>
      <c r="W6" s="170">
        <v>329716</v>
      </c>
      <c r="X6" s="170">
        <v>1400069</v>
      </c>
      <c r="Y6" s="171">
        <v>1066603</v>
      </c>
      <c r="Z6" s="169">
        <v>77684</v>
      </c>
      <c r="AA6" s="170">
        <v>160227</v>
      </c>
      <c r="AB6" s="170">
        <v>408800</v>
      </c>
      <c r="AC6" s="171">
        <v>412505</v>
      </c>
      <c r="AD6" s="207">
        <v>209032</v>
      </c>
      <c r="AE6" s="170">
        <v>140306</v>
      </c>
      <c r="AF6" s="170">
        <v>463838</v>
      </c>
      <c r="AG6" s="186">
        <v>304508</v>
      </c>
      <c r="AH6" s="169">
        <v>519167</v>
      </c>
      <c r="AI6" s="170">
        <v>382900</v>
      </c>
      <c r="AJ6" s="170">
        <v>1409224</v>
      </c>
      <c r="AK6" s="171">
        <v>1126785</v>
      </c>
      <c r="AL6" s="207">
        <v>193883</v>
      </c>
      <c r="AM6" s="170">
        <v>99198</v>
      </c>
      <c r="AN6" s="170">
        <v>423309</v>
      </c>
      <c r="AO6" s="171">
        <v>273595</v>
      </c>
      <c r="AP6" s="207">
        <v>2769122</v>
      </c>
      <c r="AQ6" s="170">
        <v>3253442</v>
      </c>
      <c r="AR6" s="170">
        <v>7839356</v>
      </c>
      <c r="AS6" s="171">
        <v>8702299</v>
      </c>
      <c r="AT6" s="170">
        <v>3675333</v>
      </c>
      <c r="AU6" s="1046">
        <v>3178066</v>
      </c>
      <c r="AV6" s="170">
        <v>11197897</v>
      </c>
      <c r="AW6" s="171">
        <v>10244719</v>
      </c>
      <c r="AX6" s="1047">
        <v>268120</v>
      </c>
      <c r="AY6" s="190">
        <v>230673</v>
      </c>
      <c r="AZ6" s="190">
        <v>789158</v>
      </c>
      <c r="BA6" s="1048">
        <v>731120</v>
      </c>
      <c r="BB6" s="169">
        <v>289495</v>
      </c>
      <c r="BC6" s="170">
        <v>243686</v>
      </c>
      <c r="BD6" s="170">
        <v>784056</v>
      </c>
      <c r="BE6" s="171">
        <v>700988</v>
      </c>
      <c r="BF6" s="207">
        <v>1423765</v>
      </c>
      <c r="BG6" s="170">
        <v>1241491</v>
      </c>
      <c r="BH6" s="170">
        <v>3204019</v>
      </c>
      <c r="BI6" s="186">
        <v>2788010</v>
      </c>
      <c r="BJ6" s="169">
        <v>2964526</v>
      </c>
      <c r="BK6" s="170">
        <v>2624899</v>
      </c>
      <c r="BL6" s="170">
        <v>7228142</v>
      </c>
      <c r="BM6" s="186">
        <v>6432766</v>
      </c>
      <c r="BN6" s="169">
        <v>616140</v>
      </c>
      <c r="BO6" s="170">
        <v>528760</v>
      </c>
      <c r="BP6" s="170">
        <v>1689932</v>
      </c>
      <c r="BQ6" s="186">
        <v>1543092</v>
      </c>
      <c r="BR6" s="169">
        <v>305507</v>
      </c>
      <c r="BS6" s="170">
        <v>293626</v>
      </c>
      <c r="BT6" s="170">
        <v>1046931</v>
      </c>
      <c r="BU6" s="186">
        <v>929351</v>
      </c>
      <c r="BV6" s="1049"/>
      <c r="BW6" s="170"/>
      <c r="BX6" s="170"/>
      <c r="BY6" s="186"/>
      <c r="BZ6" s="374">
        <v>2378907</v>
      </c>
      <c r="CA6" s="367">
        <v>2169299</v>
      </c>
      <c r="CB6" s="367">
        <v>7527259</v>
      </c>
      <c r="CC6" s="281">
        <v>7045488</v>
      </c>
      <c r="CD6" s="1050">
        <v>261631</v>
      </c>
      <c r="CE6" s="193">
        <v>230720</v>
      </c>
      <c r="CF6" s="193">
        <v>788188</v>
      </c>
      <c r="CG6" s="210">
        <v>725995</v>
      </c>
      <c r="CH6" s="194">
        <v>333826</v>
      </c>
      <c r="CI6" s="195">
        <v>339866</v>
      </c>
      <c r="CJ6" s="195">
        <v>939174</v>
      </c>
      <c r="CK6" s="211">
        <v>946170</v>
      </c>
      <c r="CL6" s="169">
        <v>1945230</v>
      </c>
      <c r="CM6" s="170">
        <v>1262896</v>
      </c>
      <c r="CN6" s="170">
        <v>4652387</v>
      </c>
      <c r="CO6" s="186">
        <v>2915485</v>
      </c>
      <c r="CP6" s="197">
        <f aca="true" t="shared" si="0" ref="CP6:CP25">SUM(B6+F6+J6+N6+R6+V6+Z6+AD6+AH6+AL6+AP6+AT6+AX6+BB6+BF6+BJ6+BN6+BR6+BV6+BZ6+CD6+CH6+CL6)</f>
        <v>21129837</v>
      </c>
      <c r="CQ6" s="212">
        <f aca="true" t="shared" si="1" ref="CQ6:CS21">SUM(C6+G6+K6+O6+S6+W6+AA6+AE6+AI6+AM6+AQ6+AU6+AY6+BC6+BG6+BK6+BO6+BS6+BW6+CA6+CE6+CI6+CM6)</f>
        <v>18299566</v>
      </c>
      <c r="CR6" s="212">
        <f t="shared" si="1"/>
        <v>58139363</v>
      </c>
      <c r="CS6" s="213">
        <f t="shared" si="1"/>
        <v>50998090</v>
      </c>
      <c r="CT6" s="194">
        <v>31264184</v>
      </c>
      <c r="CU6" s="195">
        <v>30290550</v>
      </c>
      <c r="CV6" s="195">
        <v>87996101</v>
      </c>
      <c r="CW6" s="211">
        <v>82355240</v>
      </c>
      <c r="CX6" s="197">
        <f aca="true" t="shared" si="2" ref="CX6:CX25">CP6+CT6</f>
        <v>52394021</v>
      </c>
      <c r="CY6" s="197">
        <f aca="true" t="shared" si="3" ref="CY6:DA21">CQ6+CU6</f>
        <v>48590116</v>
      </c>
      <c r="CZ6" s="197">
        <f t="shared" si="3"/>
        <v>146135464</v>
      </c>
      <c r="DA6" s="198">
        <f t="shared" si="3"/>
        <v>133353330</v>
      </c>
    </row>
    <row r="7" spans="1:105" s="262" customFormat="1" ht="14.25">
      <c r="A7" s="281" t="s">
        <v>65</v>
      </c>
      <c r="B7" s="844">
        <v>408853</v>
      </c>
      <c r="C7" s="184">
        <v>340953</v>
      </c>
      <c r="D7" s="184">
        <v>1070690</v>
      </c>
      <c r="E7" s="1045">
        <v>942220</v>
      </c>
      <c r="F7" s="169">
        <v>10869</v>
      </c>
      <c r="G7" s="170">
        <v>13435</v>
      </c>
      <c r="H7" s="170">
        <v>28344</v>
      </c>
      <c r="I7" s="171">
        <v>28935</v>
      </c>
      <c r="J7" s="207">
        <v>30885</v>
      </c>
      <c r="K7" s="170">
        <v>58315</v>
      </c>
      <c r="L7" s="170">
        <v>106048</v>
      </c>
      <c r="M7" s="186">
        <v>136998</v>
      </c>
      <c r="N7" s="169">
        <v>252519</v>
      </c>
      <c r="O7" s="170">
        <v>262799</v>
      </c>
      <c r="P7" s="170">
        <v>740196</v>
      </c>
      <c r="Q7" s="186">
        <v>665300</v>
      </c>
      <c r="R7" s="169">
        <v>139907</v>
      </c>
      <c r="S7" s="170">
        <v>105434</v>
      </c>
      <c r="T7" s="170">
        <v>398118</v>
      </c>
      <c r="U7" s="186">
        <v>322499</v>
      </c>
      <c r="V7" s="169">
        <v>148552</v>
      </c>
      <c r="W7" s="170">
        <v>80929</v>
      </c>
      <c r="X7" s="170">
        <v>423746</v>
      </c>
      <c r="Y7" s="171">
        <v>181919</v>
      </c>
      <c r="Z7" s="169">
        <v>45085</v>
      </c>
      <c r="AA7" s="170">
        <v>27040</v>
      </c>
      <c r="AB7" s="170">
        <v>120817</v>
      </c>
      <c r="AC7" s="171">
        <v>73125</v>
      </c>
      <c r="AD7" s="207">
        <v>62022</v>
      </c>
      <c r="AE7" s="170">
        <v>44503</v>
      </c>
      <c r="AF7" s="170">
        <v>130073</v>
      </c>
      <c r="AG7" s="186">
        <v>92589</v>
      </c>
      <c r="AH7" s="169">
        <v>111697</v>
      </c>
      <c r="AI7" s="170">
        <v>54645</v>
      </c>
      <c r="AJ7" s="170">
        <v>438110</v>
      </c>
      <c r="AK7" s="171">
        <v>319917</v>
      </c>
      <c r="AL7" s="207">
        <v>34500</v>
      </c>
      <c r="AM7" s="170">
        <v>25286</v>
      </c>
      <c r="AN7" s="170">
        <v>81968</v>
      </c>
      <c r="AO7" s="171">
        <v>56873</v>
      </c>
      <c r="AP7" s="207">
        <v>798003</v>
      </c>
      <c r="AQ7" s="170">
        <v>588156</v>
      </c>
      <c r="AR7" s="170">
        <v>2137182</v>
      </c>
      <c r="AS7" s="171">
        <v>1549659</v>
      </c>
      <c r="AT7" s="170">
        <v>1243683</v>
      </c>
      <c r="AU7" s="1046">
        <v>1160633</v>
      </c>
      <c r="AV7" s="170">
        <v>3844593</v>
      </c>
      <c r="AW7" s="171">
        <v>3440574</v>
      </c>
      <c r="AX7" s="1047">
        <v>72065</v>
      </c>
      <c r="AY7" s="190">
        <v>68889</v>
      </c>
      <c r="AZ7" s="190">
        <v>191940</v>
      </c>
      <c r="BA7" s="1048">
        <v>186532</v>
      </c>
      <c r="BB7" s="169">
        <v>119459</v>
      </c>
      <c r="BC7" s="170">
        <v>947956</v>
      </c>
      <c r="BD7" s="170">
        <v>287124</v>
      </c>
      <c r="BE7" s="171">
        <v>190949</v>
      </c>
      <c r="BF7" s="207">
        <v>601050</v>
      </c>
      <c r="BG7" s="170">
        <v>346264</v>
      </c>
      <c r="BH7" s="170">
        <v>1314552</v>
      </c>
      <c r="BI7" s="186">
        <v>895730</v>
      </c>
      <c r="BJ7" s="169">
        <v>899937</v>
      </c>
      <c r="BK7" s="170">
        <v>913933</v>
      </c>
      <c r="BL7" s="170">
        <v>2503614</v>
      </c>
      <c r="BM7" s="186">
        <v>2481945</v>
      </c>
      <c r="BN7" s="169">
        <v>258141</v>
      </c>
      <c r="BO7" s="170">
        <v>209245</v>
      </c>
      <c r="BP7" s="170">
        <v>733190</v>
      </c>
      <c r="BQ7" s="186">
        <v>550296</v>
      </c>
      <c r="BR7" s="169">
        <v>234503</v>
      </c>
      <c r="BS7" s="170">
        <v>226663</v>
      </c>
      <c r="BT7" s="170">
        <v>683342</v>
      </c>
      <c r="BU7" s="186">
        <v>649196</v>
      </c>
      <c r="BV7" s="1049"/>
      <c r="BW7" s="170"/>
      <c r="BX7" s="170"/>
      <c r="BY7" s="186"/>
      <c r="BZ7" s="374">
        <v>1899842</v>
      </c>
      <c r="CA7" s="367">
        <v>1500502</v>
      </c>
      <c r="CB7" s="367">
        <v>5213114</v>
      </c>
      <c r="CC7" s="281">
        <v>3938435</v>
      </c>
      <c r="CD7" s="1050">
        <v>100278</v>
      </c>
      <c r="CE7" s="193">
        <v>79388</v>
      </c>
      <c r="CF7" s="193">
        <v>262495</v>
      </c>
      <c r="CG7" s="210">
        <v>195937</v>
      </c>
      <c r="CH7" s="194">
        <v>221267</v>
      </c>
      <c r="CI7" s="195">
        <v>193504</v>
      </c>
      <c r="CJ7" s="195">
        <v>525183</v>
      </c>
      <c r="CK7" s="211">
        <v>450675</v>
      </c>
      <c r="CL7" s="169">
        <v>400403</v>
      </c>
      <c r="CM7" s="170">
        <v>241659</v>
      </c>
      <c r="CN7" s="170">
        <v>964533</v>
      </c>
      <c r="CO7" s="186">
        <v>588015</v>
      </c>
      <c r="CP7" s="197">
        <f t="shared" si="0"/>
        <v>8093520</v>
      </c>
      <c r="CQ7" s="212">
        <f t="shared" si="1"/>
        <v>7490131</v>
      </c>
      <c r="CR7" s="212">
        <f t="shared" si="1"/>
        <v>22198972</v>
      </c>
      <c r="CS7" s="213">
        <f t="shared" si="1"/>
        <v>17938318</v>
      </c>
      <c r="CT7" s="194">
        <v>32231023</v>
      </c>
      <c r="CU7" s="195">
        <v>30605504</v>
      </c>
      <c r="CV7" s="195">
        <v>100579851</v>
      </c>
      <c r="CW7" s="211">
        <v>95114573</v>
      </c>
      <c r="CX7" s="197">
        <f t="shared" si="2"/>
        <v>40324543</v>
      </c>
      <c r="CY7" s="197">
        <f t="shared" si="3"/>
        <v>38095635</v>
      </c>
      <c r="CZ7" s="197">
        <f t="shared" si="3"/>
        <v>122778823</v>
      </c>
      <c r="DA7" s="198">
        <f t="shared" si="3"/>
        <v>113052891</v>
      </c>
    </row>
    <row r="8" spans="1:105" s="262" customFormat="1" ht="14.25">
      <c r="A8" s="281" t="s">
        <v>66</v>
      </c>
      <c r="B8" s="844">
        <v>17070</v>
      </c>
      <c r="C8" s="184">
        <v>16347</v>
      </c>
      <c r="D8" s="184">
        <v>48198</v>
      </c>
      <c r="E8" s="1045">
        <v>30694</v>
      </c>
      <c r="F8" s="169">
        <v>8</v>
      </c>
      <c r="G8" s="170">
        <v>-537</v>
      </c>
      <c r="H8" s="170">
        <v>8</v>
      </c>
      <c r="I8" s="171">
        <v>3</v>
      </c>
      <c r="J8" s="207">
        <v>12</v>
      </c>
      <c r="K8" s="170">
        <v>68</v>
      </c>
      <c r="L8" s="170">
        <v>104</v>
      </c>
      <c r="M8" s="186">
        <v>164</v>
      </c>
      <c r="N8" s="169">
        <v>171072</v>
      </c>
      <c r="O8" s="170">
        <v>77702</v>
      </c>
      <c r="P8" s="170">
        <v>424998</v>
      </c>
      <c r="Q8" s="186">
        <v>123577</v>
      </c>
      <c r="R8" s="169">
        <v>6383</v>
      </c>
      <c r="S8" s="170">
        <v>4604</v>
      </c>
      <c r="T8" s="170">
        <v>12958</v>
      </c>
      <c r="U8" s="186">
        <v>5624</v>
      </c>
      <c r="V8" s="169">
        <v>8860</v>
      </c>
      <c r="W8" s="170">
        <v>5825</v>
      </c>
      <c r="X8" s="170">
        <v>26232</v>
      </c>
      <c r="Y8" s="171">
        <v>15487</v>
      </c>
      <c r="Z8" s="169">
        <v>36741</v>
      </c>
      <c r="AA8" s="170">
        <v>119189</v>
      </c>
      <c r="AB8" s="170">
        <v>283898</v>
      </c>
      <c r="AC8" s="171">
        <v>220967</v>
      </c>
      <c r="AD8" s="207">
        <v>594</v>
      </c>
      <c r="AE8" s="170">
        <v>1324</v>
      </c>
      <c r="AF8" s="170">
        <v>1984</v>
      </c>
      <c r="AG8" s="186">
        <v>3088</v>
      </c>
      <c r="AH8" s="169">
        <v>3487</v>
      </c>
      <c r="AI8" s="170">
        <v>886</v>
      </c>
      <c r="AJ8" s="170">
        <v>5438</v>
      </c>
      <c r="AK8" s="171">
        <v>3173</v>
      </c>
      <c r="AL8" s="207">
        <v>4196</v>
      </c>
      <c r="AM8" s="170">
        <v>101</v>
      </c>
      <c r="AN8" s="170">
        <v>4450</v>
      </c>
      <c r="AO8" s="171">
        <v>307</v>
      </c>
      <c r="AP8" s="207">
        <v>368293</v>
      </c>
      <c r="AQ8" s="170">
        <v>245107</v>
      </c>
      <c r="AR8" s="170">
        <v>1200257</v>
      </c>
      <c r="AS8" s="171">
        <v>497347</v>
      </c>
      <c r="AT8" s="170">
        <v>175834</v>
      </c>
      <c r="AU8" s="1046">
        <v>127177</v>
      </c>
      <c r="AV8" s="170">
        <v>470400</v>
      </c>
      <c r="AW8" s="171">
        <v>347443</v>
      </c>
      <c r="AX8" s="1047">
        <v>37734</v>
      </c>
      <c r="AY8" s="190">
        <v>29866</v>
      </c>
      <c r="AZ8" s="190">
        <v>91307</v>
      </c>
      <c r="BA8" s="1048">
        <v>81627</v>
      </c>
      <c r="BB8" s="169">
        <v>28226</v>
      </c>
      <c r="BC8" s="170">
        <v>19674</v>
      </c>
      <c r="BD8" s="170">
        <v>79301</v>
      </c>
      <c r="BE8" s="171">
        <v>46634</v>
      </c>
      <c r="BF8" s="207">
        <v>98322</v>
      </c>
      <c r="BG8" s="170">
        <v>61657</v>
      </c>
      <c r="BH8" s="170">
        <v>228676</v>
      </c>
      <c r="BI8" s="186">
        <v>109666</v>
      </c>
      <c r="BJ8" s="169">
        <v>53406</v>
      </c>
      <c r="BK8" s="170">
        <v>4541</v>
      </c>
      <c r="BL8" s="170">
        <v>156659</v>
      </c>
      <c r="BM8" s="186">
        <v>14042</v>
      </c>
      <c r="BN8" s="169">
        <v>29402</v>
      </c>
      <c r="BO8" s="170">
        <v>17890</v>
      </c>
      <c r="BP8" s="170">
        <v>84584</v>
      </c>
      <c r="BQ8" s="186">
        <v>61372</v>
      </c>
      <c r="BR8" s="169">
        <v>885</v>
      </c>
      <c r="BS8" s="170">
        <v>616</v>
      </c>
      <c r="BT8" s="170">
        <v>3290</v>
      </c>
      <c r="BU8" s="186">
        <v>2215</v>
      </c>
      <c r="BV8" s="1049"/>
      <c r="BW8" s="170"/>
      <c r="BX8" s="170"/>
      <c r="BY8" s="186"/>
      <c r="BZ8" s="374">
        <v>241770</v>
      </c>
      <c r="CA8" s="367">
        <v>89606</v>
      </c>
      <c r="CB8" s="367">
        <v>723097</v>
      </c>
      <c r="CC8" s="281">
        <v>224785</v>
      </c>
      <c r="CD8" s="1050">
        <v>2352</v>
      </c>
      <c r="CE8" s="193">
        <v>6236</v>
      </c>
      <c r="CF8" s="193">
        <v>8639</v>
      </c>
      <c r="CG8" s="210">
        <v>7926</v>
      </c>
      <c r="CH8" s="194">
        <v>11362</v>
      </c>
      <c r="CI8" s="195">
        <v>12244</v>
      </c>
      <c r="CJ8" s="195">
        <v>35508</v>
      </c>
      <c r="CK8" s="211">
        <v>29062</v>
      </c>
      <c r="CL8" s="169">
        <v>22396</v>
      </c>
      <c r="CM8" s="170">
        <v>443</v>
      </c>
      <c r="CN8" s="170">
        <v>23458</v>
      </c>
      <c r="CO8" s="186">
        <v>892</v>
      </c>
      <c r="CP8" s="197">
        <f t="shared" si="0"/>
        <v>1318405</v>
      </c>
      <c r="CQ8" s="212">
        <f t="shared" si="1"/>
        <v>840566</v>
      </c>
      <c r="CR8" s="212">
        <f t="shared" si="1"/>
        <v>3913444</v>
      </c>
      <c r="CS8" s="213">
        <f t="shared" si="1"/>
        <v>1826095</v>
      </c>
      <c r="CT8" s="194">
        <v>1716030</v>
      </c>
      <c r="CU8" s="195">
        <v>1091860</v>
      </c>
      <c r="CV8" s="195">
        <v>4877203</v>
      </c>
      <c r="CW8" s="211">
        <v>5245467</v>
      </c>
      <c r="CX8" s="197">
        <f t="shared" si="2"/>
        <v>3034435</v>
      </c>
      <c r="CY8" s="197">
        <f t="shared" si="3"/>
        <v>1932426</v>
      </c>
      <c r="CZ8" s="197">
        <f t="shared" si="3"/>
        <v>8790647</v>
      </c>
      <c r="DA8" s="198">
        <f t="shared" si="3"/>
        <v>7071562</v>
      </c>
    </row>
    <row r="9" spans="1:105" s="1056" customFormat="1" ht="14.25">
      <c r="A9" s="282" t="s">
        <v>57</v>
      </c>
      <c r="B9" s="159">
        <f aca="true" t="shared" si="4" ref="B9:J9">SUM(B6:B8)</f>
        <v>1624121</v>
      </c>
      <c r="C9" s="159">
        <f t="shared" si="4"/>
        <v>1024795</v>
      </c>
      <c r="D9" s="159">
        <f t="shared" si="4"/>
        <v>4177498</v>
      </c>
      <c r="E9" s="1051">
        <f t="shared" si="4"/>
        <v>2688174</v>
      </c>
      <c r="F9" s="197">
        <f t="shared" si="4"/>
        <v>17396</v>
      </c>
      <c r="G9" s="212">
        <f t="shared" si="4"/>
        <v>21650</v>
      </c>
      <c r="H9" s="212">
        <f t="shared" si="4"/>
        <v>41420</v>
      </c>
      <c r="I9" s="214">
        <f t="shared" si="4"/>
        <v>56432</v>
      </c>
      <c r="J9" s="212">
        <f t="shared" si="4"/>
        <v>29336</v>
      </c>
      <c r="K9" s="212">
        <f aca="true" t="shared" si="5" ref="K9:Y9">SUM(K6:K8)</f>
        <v>171743</v>
      </c>
      <c r="L9" s="212">
        <f t="shared" si="5"/>
        <v>205092</v>
      </c>
      <c r="M9" s="213">
        <f t="shared" si="5"/>
        <v>365928</v>
      </c>
      <c r="N9" s="197">
        <f t="shared" si="5"/>
        <v>1113695</v>
      </c>
      <c r="O9" s="212">
        <f t="shared" si="5"/>
        <v>787330</v>
      </c>
      <c r="P9" s="212">
        <f t="shared" si="5"/>
        <v>3033295</v>
      </c>
      <c r="Q9" s="213">
        <f t="shared" si="5"/>
        <v>2034704</v>
      </c>
      <c r="R9" s="197">
        <f t="shared" si="5"/>
        <v>590012</v>
      </c>
      <c r="S9" s="212">
        <f t="shared" si="5"/>
        <v>463397</v>
      </c>
      <c r="T9" s="212">
        <f t="shared" si="5"/>
        <v>1719981</v>
      </c>
      <c r="U9" s="213">
        <f t="shared" si="5"/>
        <v>1219387</v>
      </c>
      <c r="V9" s="197">
        <f t="shared" si="5"/>
        <v>718899</v>
      </c>
      <c r="W9" s="212">
        <f t="shared" si="5"/>
        <v>416470</v>
      </c>
      <c r="X9" s="212">
        <f t="shared" si="5"/>
        <v>1850047</v>
      </c>
      <c r="Y9" s="214">
        <f t="shared" si="5"/>
        <v>1264009</v>
      </c>
      <c r="Z9" s="197">
        <f>SUM(Z6:Z8)</f>
        <v>159510</v>
      </c>
      <c r="AA9" s="212">
        <f aca="true" t="shared" si="6" ref="AA9:AS9">SUM(AA6:AA8)</f>
        <v>306456</v>
      </c>
      <c r="AB9" s="212">
        <f t="shared" si="6"/>
        <v>813515</v>
      </c>
      <c r="AC9" s="214">
        <f t="shared" si="6"/>
        <v>706597</v>
      </c>
      <c r="AD9" s="212">
        <f t="shared" si="6"/>
        <v>271648</v>
      </c>
      <c r="AE9" s="212">
        <f t="shared" si="6"/>
        <v>186133</v>
      </c>
      <c r="AF9" s="212">
        <f t="shared" si="6"/>
        <v>595895</v>
      </c>
      <c r="AG9" s="213">
        <f t="shared" si="6"/>
        <v>400185</v>
      </c>
      <c r="AH9" s="197">
        <f t="shared" si="6"/>
        <v>634351</v>
      </c>
      <c r="AI9" s="212">
        <f t="shared" si="6"/>
        <v>438431</v>
      </c>
      <c r="AJ9" s="212">
        <f t="shared" si="6"/>
        <v>1852772</v>
      </c>
      <c r="AK9" s="214">
        <f t="shared" si="6"/>
        <v>1449875</v>
      </c>
      <c r="AL9" s="212">
        <f t="shared" si="6"/>
        <v>232579</v>
      </c>
      <c r="AM9" s="212">
        <f t="shared" si="6"/>
        <v>124585</v>
      </c>
      <c r="AN9" s="212">
        <f t="shared" si="6"/>
        <v>509727</v>
      </c>
      <c r="AO9" s="212">
        <f t="shared" si="6"/>
        <v>330775</v>
      </c>
      <c r="AP9" s="212">
        <f t="shared" si="6"/>
        <v>3935418</v>
      </c>
      <c r="AQ9" s="212">
        <f t="shared" si="6"/>
        <v>4086705</v>
      </c>
      <c r="AR9" s="212">
        <f t="shared" si="6"/>
        <v>11176795</v>
      </c>
      <c r="AS9" s="212">
        <f t="shared" si="6"/>
        <v>10749305</v>
      </c>
      <c r="AT9" s="212">
        <f>SUM(AT6:AT8)</f>
        <v>5094850</v>
      </c>
      <c r="AU9" s="212">
        <f>SUM(AU6:AU8)</f>
        <v>4465876</v>
      </c>
      <c r="AV9" s="212">
        <f aca="true" t="shared" si="7" ref="AV9:CF9">SUM(AV6:AV8)</f>
        <v>15512890</v>
      </c>
      <c r="AW9" s="212">
        <f t="shared" si="7"/>
        <v>14032736</v>
      </c>
      <c r="AX9" s="212">
        <f t="shared" si="7"/>
        <v>377919</v>
      </c>
      <c r="AY9" s="212">
        <f t="shared" si="7"/>
        <v>329428</v>
      </c>
      <c r="AZ9" s="212">
        <f t="shared" si="7"/>
        <v>1072405</v>
      </c>
      <c r="BA9" s="213">
        <f t="shared" si="7"/>
        <v>999279</v>
      </c>
      <c r="BB9" s="197">
        <f t="shared" si="7"/>
        <v>437180</v>
      </c>
      <c r="BC9" s="212">
        <f t="shared" si="7"/>
        <v>1211316</v>
      </c>
      <c r="BD9" s="212">
        <f t="shared" si="7"/>
        <v>1150481</v>
      </c>
      <c r="BE9" s="214">
        <f t="shared" si="7"/>
        <v>938571</v>
      </c>
      <c r="BF9" s="212">
        <f t="shared" si="7"/>
        <v>2123137</v>
      </c>
      <c r="BG9" s="212">
        <f t="shared" si="7"/>
        <v>1649412</v>
      </c>
      <c r="BH9" s="212">
        <f t="shared" si="7"/>
        <v>4747247</v>
      </c>
      <c r="BI9" s="213">
        <f t="shared" si="7"/>
        <v>3793406</v>
      </c>
      <c r="BJ9" s="197">
        <f t="shared" si="7"/>
        <v>3917869</v>
      </c>
      <c r="BK9" s="212">
        <f t="shared" si="7"/>
        <v>3543373</v>
      </c>
      <c r="BL9" s="212">
        <f t="shared" si="7"/>
        <v>9888415</v>
      </c>
      <c r="BM9" s="213">
        <f t="shared" si="7"/>
        <v>8928753</v>
      </c>
      <c r="BN9" s="197">
        <f t="shared" si="7"/>
        <v>903683</v>
      </c>
      <c r="BO9" s="212">
        <f t="shared" si="7"/>
        <v>755895</v>
      </c>
      <c r="BP9" s="212">
        <f t="shared" si="7"/>
        <v>2507706</v>
      </c>
      <c r="BQ9" s="213">
        <f t="shared" si="7"/>
        <v>2154760</v>
      </c>
      <c r="BR9" s="197">
        <f t="shared" si="7"/>
        <v>540895</v>
      </c>
      <c r="BS9" s="212">
        <f t="shared" si="7"/>
        <v>520905</v>
      </c>
      <c r="BT9" s="212">
        <f t="shared" si="7"/>
        <v>1733563</v>
      </c>
      <c r="BU9" s="213">
        <f t="shared" si="7"/>
        <v>1580762</v>
      </c>
      <c r="BV9" s="197">
        <f t="shared" si="7"/>
        <v>0</v>
      </c>
      <c r="BW9" s="212">
        <f t="shared" si="7"/>
        <v>0</v>
      </c>
      <c r="BX9" s="212">
        <f t="shared" si="7"/>
        <v>0</v>
      </c>
      <c r="BY9" s="213">
        <f t="shared" si="7"/>
        <v>0</v>
      </c>
      <c r="BZ9" s="197">
        <f t="shared" si="7"/>
        <v>4520519</v>
      </c>
      <c r="CA9" s="212">
        <f t="shared" si="7"/>
        <v>3759407</v>
      </c>
      <c r="CB9" s="212">
        <f t="shared" si="7"/>
        <v>13463470</v>
      </c>
      <c r="CC9" s="213">
        <f t="shared" si="7"/>
        <v>11208708</v>
      </c>
      <c r="CD9" s="197">
        <f t="shared" si="7"/>
        <v>364261</v>
      </c>
      <c r="CE9" s="212">
        <f t="shared" si="7"/>
        <v>316344</v>
      </c>
      <c r="CF9" s="212">
        <f t="shared" si="7"/>
        <v>1059322</v>
      </c>
      <c r="CG9" s="282">
        <f aca="true" t="shared" si="8" ref="CG9:CO9">SUM(CG6:CG8)</f>
        <v>929858</v>
      </c>
      <c r="CH9" s="1052">
        <f t="shared" si="8"/>
        <v>566455</v>
      </c>
      <c r="CI9" s="292">
        <f t="shared" si="8"/>
        <v>545614</v>
      </c>
      <c r="CJ9" s="292">
        <f t="shared" si="8"/>
        <v>1499865</v>
      </c>
      <c r="CK9" s="282">
        <f t="shared" si="8"/>
        <v>1425907</v>
      </c>
      <c r="CL9" s="1052">
        <f t="shared" si="8"/>
        <v>2368029</v>
      </c>
      <c r="CM9" s="292">
        <f t="shared" si="8"/>
        <v>1504998</v>
      </c>
      <c r="CN9" s="292">
        <f t="shared" si="8"/>
        <v>5640378</v>
      </c>
      <c r="CO9" s="282">
        <f t="shared" si="8"/>
        <v>3504392</v>
      </c>
      <c r="CP9" s="197">
        <f t="shared" si="0"/>
        <v>30541762</v>
      </c>
      <c r="CQ9" s="212">
        <f t="shared" si="1"/>
        <v>26630263</v>
      </c>
      <c r="CR9" s="212">
        <f t="shared" si="1"/>
        <v>84251779</v>
      </c>
      <c r="CS9" s="213">
        <f t="shared" si="1"/>
        <v>70762503</v>
      </c>
      <c r="CT9" s="1053">
        <f>SUM(CT6:CT8)</f>
        <v>65211237</v>
      </c>
      <c r="CU9" s="1053">
        <f>SUM(CU6:CU8)</f>
        <v>61987914</v>
      </c>
      <c r="CV9" s="1053">
        <f>SUM(CV6:CV8)</f>
        <v>193453155</v>
      </c>
      <c r="CW9" s="1053">
        <f>SUM(CW6:CW8)</f>
        <v>182715280</v>
      </c>
      <c r="CX9" s="197">
        <f t="shared" si="2"/>
        <v>95752999</v>
      </c>
      <c r="CY9" s="197">
        <f t="shared" si="3"/>
        <v>88618177</v>
      </c>
      <c r="CZ9" s="197">
        <f t="shared" si="3"/>
        <v>277704934</v>
      </c>
      <c r="DA9" s="198">
        <f t="shared" si="3"/>
        <v>253477783</v>
      </c>
    </row>
    <row r="10" spans="1:105" s="262" customFormat="1" ht="14.25">
      <c r="A10" s="281" t="s">
        <v>67</v>
      </c>
      <c r="B10" s="159"/>
      <c r="C10" s="1057"/>
      <c r="D10" s="1057"/>
      <c r="E10" s="1058"/>
      <c r="F10" s="197"/>
      <c r="G10" s="201"/>
      <c r="H10" s="201"/>
      <c r="I10" s="202"/>
      <c r="J10" s="212"/>
      <c r="K10" s="201"/>
      <c r="L10" s="201"/>
      <c r="M10" s="203"/>
      <c r="N10" s="197"/>
      <c r="O10" s="201"/>
      <c r="P10" s="201"/>
      <c r="Q10" s="203"/>
      <c r="R10" s="197"/>
      <c r="S10" s="201"/>
      <c r="T10" s="201"/>
      <c r="U10" s="203"/>
      <c r="V10" s="197"/>
      <c r="W10" s="201"/>
      <c r="X10" s="201"/>
      <c r="Y10" s="202"/>
      <c r="Z10" s="197"/>
      <c r="AA10" s="201"/>
      <c r="AB10" s="201"/>
      <c r="AC10" s="202"/>
      <c r="AD10" s="212"/>
      <c r="AE10" s="201"/>
      <c r="AF10" s="201"/>
      <c r="AG10" s="203"/>
      <c r="AH10" s="197"/>
      <c r="AI10" s="201"/>
      <c r="AJ10" s="201"/>
      <c r="AK10" s="202"/>
      <c r="AL10" s="212"/>
      <c r="AM10" s="201"/>
      <c r="AN10" s="201"/>
      <c r="AO10" s="202"/>
      <c r="AP10" s="212"/>
      <c r="AQ10" s="201"/>
      <c r="AR10" s="201"/>
      <c r="AS10" s="202"/>
      <c r="AT10" s="212"/>
      <c r="AU10" s="201"/>
      <c r="AV10" s="201"/>
      <c r="AW10" s="202"/>
      <c r="AX10" s="1047"/>
      <c r="AY10" s="190"/>
      <c r="AZ10" s="190"/>
      <c r="BA10" s="1048"/>
      <c r="BB10" s="197"/>
      <c r="BC10" s="201"/>
      <c r="BD10" s="201"/>
      <c r="BE10" s="202"/>
      <c r="BF10" s="1059"/>
      <c r="BG10" s="1060"/>
      <c r="BH10" s="1060"/>
      <c r="BI10" s="1061"/>
      <c r="BJ10" s="197"/>
      <c r="BK10" s="201"/>
      <c r="BL10" s="201"/>
      <c r="BM10" s="203"/>
      <c r="BN10" s="197"/>
      <c r="BO10" s="201"/>
      <c r="BP10" s="201"/>
      <c r="BQ10" s="203"/>
      <c r="BR10" s="197"/>
      <c r="BS10" s="201"/>
      <c r="BT10" s="201"/>
      <c r="BU10" s="203"/>
      <c r="BV10" s="1049"/>
      <c r="BW10" s="170"/>
      <c r="BX10" s="170"/>
      <c r="BY10" s="186"/>
      <c r="BZ10" s="169"/>
      <c r="CA10" s="170"/>
      <c r="CB10" s="170"/>
      <c r="CC10" s="186"/>
      <c r="CD10" s="1050"/>
      <c r="CE10" s="193"/>
      <c r="CF10" s="193"/>
      <c r="CG10" s="210"/>
      <c r="CH10" s="194"/>
      <c r="CI10" s="195"/>
      <c r="CJ10" s="195"/>
      <c r="CK10" s="211"/>
      <c r="CL10" s="197"/>
      <c r="CM10" s="201"/>
      <c r="CN10" s="201"/>
      <c r="CO10" s="203"/>
      <c r="CP10" s="197">
        <f t="shared" si="0"/>
        <v>0</v>
      </c>
      <c r="CQ10" s="212">
        <f t="shared" si="1"/>
        <v>0</v>
      </c>
      <c r="CR10" s="212">
        <f t="shared" si="1"/>
        <v>0</v>
      </c>
      <c r="CS10" s="213">
        <f t="shared" si="1"/>
        <v>0</v>
      </c>
      <c r="CT10" s="197"/>
      <c r="CU10" s="201"/>
      <c r="CV10" s="201"/>
      <c r="CW10" s="203"/>
      <c r="CX10" s="197">
        <f t="shared" si="2"/>
        <v>0</v>
      </c>
      <c r="CY10" s="197">
        <f t="shared" si="3"/>
        <v>0</v>
      </c>
      <c r="CZ10" s="197">
        <f t="shared" si="3"/>
        <v>0</v>
      </c>
      <c r="DA10" s="198">
        <f t="shared" si="3"/>
        <v>0</v>
      </c>
    </row>
    <row r="11" spans="1:105" s="262" customFormat="1" ht="14.25">
      <c r="A11" s="281" t="s">
        <v>68</v>
      </c>
      <c r="B11" s="844"/>
      <c r="C11" s="184"/>
      <c r="D11" s="184"/>
      <c r="E11" s="1045"/>
      <c r="F11" s="169"/>
      <c r="G11" s="170"/>
      <c r="H11" s="170"/>
      <c r="I11" s="171"/>
      <c r="J11" s="207"/>
      <c r="K11" s="170"/>
      <c r="L11" s="170"/>
      <c r="M11" s="186"/>
      <c r="N11" s="169">
        <v>-648</v>
      </c>
      <c r="O11" s="170">
        <v>-1473</v>
      </c>
      <c r="P11" s="170">
        <v>-4198</v>
      </c>
      <c r="Q11" s="186">
        <v>-5304</v>
      </c>
      <c r="R11" s="169"/>
      <c r="S11" s="170"/>
      <c r="T11" s="170"/>
      <c r="U11" s="186"/>
      <c r="V11" s="169"/>
      <c r="W11" s="170"/>
      <c r="X11" s="170"/>
      <c r="Y11" s="171"/>
      <c r="Z11" s="169"/>
      <c r="AA11" s="170"/>
      <c r="AB11" s="170"/>
      <c r="AC11" s="171"/>
      <c r="AD11" s="207"/>
      <c r="AE11" s="170"/>
      <c r="AF11" s="170"/>
      <c r="AG11" s="186"/>
      <c r="AH11" s="169"/>
      <c r="AI11" s="170"/>
      <c r="AJ11" s="170"/>
      <c r="AK11" s="171"/>
      <c r="AL11" s="207"/>
      <c r="AM11" s="170"/>
      <c r="AN11" s="170"/>
      <c r="AO11" s="171"/>
      <c r="AP11" s="207"/>
      <c r="AQ11" s="170"/>
      <c r="AR11" s="170"/>
      <c r="AS11" s="171"/>
      <c r="AT11" s="207"/>
      <c r="AU11" s="170"/>
      <c r="AV11" s="170"/>
      <c r="AW11" s="171"/>
      <c r="AX11" s="207"/>
      <c r="AY11" s="170"/>
      <c r="AZ11" s="170"/>
      <c r="BA11" s="186"/>
      <c r="BB11" s="169"/>
      <c r="BC11" s="170"/>
      <c r="BD11" s="170"/>
      <c r="BE11" s="171"/>
      <c r="BF11" s="207"/>
      <c r="BG11" s="170"/>
      <c r="BH11" s="170"/>
      <c r="BI11" s="186"/>
      <c r="BJ11" s="169"/>
      <c r="BK11" s="170"/>
      <c r="BL11" s="170"/>
      <c r="BM11" s="186"/>
      <c r="BN11" s="169"/>
      <c r="BO11" s="170"/>
      <c r="BP11" s="170"/>
      <c r="BQ11" s="186"/>
      <c r="BR11" s="169"/>
      <c r="BS11" s="170"/>
      <c r="BT11" s="170"/>
      <c r="BU11" s="186"/>
      <c r="BV11" s="1049"/>
      <c r="BW11" s="170"/>
      <c r="BX11" s="170"/>
      <c r="BY11" s="186"/>
      <c r="BZ11" s="169"/>
      <c r="CA11" s="170"/>
      <c r="CB11" s="170"/>
      <c r="CC11" s="186"/>
      <c r="CD11" s="1050"/>
      <c r="CE11" s="193"/>
      <c r="CF11" s="193"/>
      <c r="CG11" s="210"/>
      <c r="CH11" s="194"/>
      <c r="CI11" s="195"/>
      <c r="CJ11" s="195"/>
      <c r="CK11" s="211"/>
      <c r="CL11" s="169">
        <v>1189</v>
      </c>
      <c r="CM11" s="170">
        <v>1621</v>
      </c>
      <c r="CN11" s="170">
        <v>1189</v>
      </c>
      <c r="CO11" s="186">
        <v>-1203</v>
      </c>
      <c r="CP11" s="197">
        <f t="shared" si="0"/>
        <v>541</v>
      </c>
      <c r="CQ11" s="212">
        <f t="shared" si="1"/>
        <v>148</v>
      </c>
      <c r="CR11" s="212">
        <f t="shared" si="1"/>
        <v>-3009</v>
      </c>
      <c r="CS11" s="213">
        <f t="shared" si="1"/>
        <v>-6507</v>
      </c>
      <c r="CT11" s="194">
        <v>-1</v>
      </c>
      <c r="CU11" s="195">
        <v>-447093</v>
      </c>
      <c r="CV11" s="195">
        <v>-341217</v>
      </c>
      <c r="CW11" s="211">
        <v>-447093</v>
      </c>
      <c r="CX11" s="197">
        <f t="shared" si="2"/>
        <v>540</v>
      </c>
      <c r="CY11" s="197">
        <f t="shared" si="3"/>
        <v>-446945</v>
      </c>
      <c r="CZ11" s="197">
        <f t="shared" si="3"/>
        <v>-344226</v>
      </c>
      <c r="DA11" s="198">
        <f t="shared" si="3"/>
        <v>-453600</v>
      </c>
    </row>
    <row r="12" spans="1:105" s="1056" customFormat="1" ht="14.25">
      <c r="A12" s="282" t="s">
        <v>69</v>
      </c>
      <c r="B12" s="159">
        <f aca="true" t="shared" si="9" ref="B12:BI12">B9</f>
        <v>1624121</v>
      </c>
      <c r="C12" s="159">
        <f t="shared" si="9"/>
        <v>1024795</v>
      </c>
      <c r="D12" s="159">
        <f t="shared" si="9"/>
        <v>4177498</v>
      </c>
      <c r="E12" s="1051">
        <f t="shared" si="9"/>
        <v>2688174</v>
      </c>
      <c r="F12" s="159">
        <f t="shared" si="9"/>
        <v>17396</v>
      </c>
      <c r="G12" s="159">
        <f t="shared" si="9"/>
        <v>21650</v>
      </c>
      <c r="H12" s="159">
        <f t="shared" si="9"/>
        <v>41420</v>
      </c>
      <c r="I12" s="1062">
        <f t="shared" si="9"/>
        <v>56432</v>
      </c>
      <c r="J12" s="200">
        <f t="shared" si="9"/>
        <v>29336</v>
      </c>
      <c r="K12" s="159">
        <f t="shared" si="9"/>
        <v>171743</v>
      </c>
      <c r="L12" s="159">
        <f t="shared" si="9"/>
        <v>205092</v>
      </c>
      <c r="M12" s="1051">
        <f t="shared" si="9"/>
        <v>365928</v>
      </c>
      <c r="N12" s="159">
        <f>N9+N11</f>
        <v>1113047</v>
      </c>
      <c r="O12" s="159">
        <f>O9+O11</f>
        <v>785857</v>
      </c>
      <c r="P12" s="159">
        <f>P9+P11</f>
        <v>3029097</v>
      </c>
      <c r="Q12" s="1051">
        <f t="shared" si="9"/>
        <v>2034704</v>
      </c>
      <c r="R12" s="159">
        <f t="shared" si="9"/>
        <v>590012</v>
      </c>
      <c r="S12" s="159">
        <f t="shared" si="9"/>
        <v>463397</v>
      </c>
      <c r="T12" s="159">
        <f t="shared" si="9"/>
        <v>1719981</v>
      </c>
      <c r="U12" s="1051">
        <f t="shared" si="9"/>
        <v>1219387</v>
      </c>
      <c r="V12" s="159">
        <f t="shared" si="9"/>
        <v>718899</v>
      </c>
      <c r="W12" s="159">
        <f t="shared" si="9"/>
        <v>416470</v>
      </c>
      <c r="X12" s="159">
        <f t="shared" si="9"/>
        <v>1850047</v>
      </c>
      <c r="Y12" s="1062">
        <f t="shared" si="9"/>
        <v>1264009</v>
      </c>
      <c r="Z12" s="159">
        <f t="shared" si="9"/>
        <v>159510</v>
      </c>
      <c r="AA12" s="159">
        <f t="shared" si="9"/>
        <v>306456</v>
      </c>
      <c r="AB12" s="159">
        <f t="shared" si="9"/>
        <v>813515</v>
      </c>
      <c r="AC12" s="1062">
        <f t="shared" si="9"/>
        <v>706597</v>
      </c>
      <c r="AD12" s="200">
        <f t="shared" si="9"/>
        <v>271648</v>
      </c>
      <c r="AE12" s="159">
        <f t="shared" si="9"/>
        <v>186133</v>
      </c>
      <c r="AF12" s="159">
        <f t="shared" si="9"/>
        <v>595895</v>
      </c>
      <c r="AG12" s="1051">
        <f t="shared" si="9"/>
        <v>400185</v>
      </c>
      <c r="AH12" s="159">
        <f t="shared" si="9"/>
        <v>634351</v>
      </c>
      <c r="AI12" s="159">
        <f t="shared" si="9"/>
        <v>438431</v>
      </c>
      <c r="AJ12" s="159">
        <f t="shared" si="9"/>
        <v>1852772</v>
      </c>
      <c r="AK12" s="1062">
        <f t="shared" si="9"/>
        <v>1449875</v>
      </c>
      <c r="AL12" s="200">
        <f t="shared" si="9"/>
        <v>232579</v>
      </c>
      <c r="AM12" s="159">
        <f t="shared" si="9"/>
        <v>124585</v>
      </c>
      <c r="AN12" s="159">
        <f t="shared" si="9"/>
        <v>509727</v>
      </c>
      <c r="AO12" s="159">
        <f t="shared" si="9"/>
        <v>330775</v>
      </c>
      <c r="AP12" s="159">
        <f t="shared" si="9"/>
        <v>3935418</v>
      </c>
      <c r="AQ12" s="159">
        <f t="shared" si="9"/>
        <v>4086705</v>
      </c>
      <c r="AR12" s="159">
        <f t="shared" si="9"/>
        <v>11176795</v>
      </c>
      <c r="AS12" s="159">
        <f t="shared" si="9"/>
        <v>10749305</v>
      </c>
      <c r="AT12" s="159">
        <f t="shared" si="9"/>
        <v>5094850</v>
      </c>
      <c r="AU12" s="159">
        <f t="shared" si="9"/>
        <v>4465876</v>
      </c>
      <c r="AV12" s="159">
        <f t="shared" si="9"/>
        <v>15512890</v>
      </c>
      <c r="AW12" s="159">
        <f t="shared" si="9"/>
        <v>14032736</v>
      </c>
      <c r="AX12" s="159">
        <f t="shared" si="9"/>
        <v>377919</v>
      </c>
      <c r="AY12" s="159">
        <f t="shared" si="9"/>
        <v>329428</v>
      </c>
      <c r="AZ12" s="159">
        <f t="shared" si="9"/>
        <v>1072405</v>
      </c>
      <c r="BA12" s="159">
        <f t="shared" si="9"/>
        <v>999279</v>
      </c>
      <c r="BB12" s="159">
        <f t="shared" si="9"/>
        <v>437180</v>
      </c>
      <c r="BC12" s="159">
        <f t="shared" si="9"/>
        <v>1211316</v>
      </c>
      <c r="BD12" s="159">
        <f t="shared" si="9"/>
        <v>1150481</v>
      </c>
      <c r="BE12" s="159">
        <f t="shared" si="9"/>
        <v>938571</v>
      </c>
      <c r="BF12" s="159">
        <f t="shared" si="9"/>
        <v>2123137</v>
      </c>
      <c r="BG12" s="159">
        <f t="shared" si="9"/>
        <v>1649412</v>
      </c>
      <c r="BH12" s="159">
        <f t="shared" si="9"/>
        <v>4747247</v>
      </c>
      <c r="BI12" s="1051">
        <f t="shared" si="9"/>
        <v>3793406</v>
      </c>
      <c r="BJ12" s="197">
        <f>SUM(BJ9:BJ11)</f>
        <v>3917869</v>
      </c>
      <c r="BK12" s="197">
        <f>SUM(BK9:BK11)</f>
        <v>3543373</v>
      </c>
      <c r="BL12" s="197">
        <f>SUM(BL9:BL11)</f>
        <v>9888415</v>
      </c>
      <c r="BM12" s="213"/>
      <c r="BN12" s="197">
        <f>BN9</f>
        <v>903683</v>
      </c>
      <c r="BO12" s="197">
        <f>BO9</f>
        <v>755895</v>
      </c>
      <c r="BP12" s="197">
        <f>BP9</f>
        <v>2507706</v>
      </c>
      <c r="BQ12" s="197">
        <f>BQ9</f>
        <v>2154760</v>
      </c>
      <c r="BR12" s="197"/>
      <c r="BS12" s="212"/>
      <c r="BT12" s="212"/>
      <c r="BU12" s="213"/>
      <c r="BV12" s="197"/>
      <c r="BW12" s="212"/>
      <c r="BX12" s="212"/>
      <c r="BY12" s="213"/>
      <c r="BZ12" s="1052">
        <f>BZ9</f>
        <v>4520519</v>
      </c>
      <c r="CA12" s="292">
        <f>CA9</f>
        <v>3759407</v>
      </c>
      <c r="CB12" s="292">
        <f aca="true" t="shared" si="10" ref="CB12:CO12">CB9</f>
        <v>13463470</v>
      </c>
      <c r="CC12" s="282">
        <f t="shared" si="10"/>
        <v>11208708</v>
      </c>
      <c r="CD12" s="1052">
        <f t="shared" si="10"/>
        <v>364261</v>
      </c>
      <c r="CE12" s="292">
        <f t="shared" si="10"/>
        <v>316344</v>
      </c>
      <c r="CF12" s="292">
        <f t="shared" si="10"/>
        <v>1059322</v>
      </c>
      <c r="CG12" s="282">
        <f t="shared" si="10"/>
        <v>929858</v>
      </c>
      <c r="CH12" s="1052">
        <f>CH9</f>
        <v>566455</v>
      </c>
      <c r="CI12" s="292">
        <f t="shared" si="10"/>
        <v>545614</v>
      </c>
      <c r="CJ12" s="292">
        <f t="shared" si="10"/>
        <v>1499865</v>
      </c>
      <c r="CK12" s="282">
        <f t="shared" si="10"/>
        <v>1425907</v>
      </c>
      <c r="CL12" s="1052">
        <f t="shared" si="10"/>
        <v>2368029</v>
      </c>
      <c r="CM12" s="292">
        <f t="shared" si="10"/>
        <v>1504998</v>
      </c>
      <c r="CN12" s="292">
        <f t="shared" si="10"/>
        <v>5640378</v>
      </c>
      <c r="CO12" s="282">
        <f t="shared" si="10"/>
        <v>3504392</v>
      </c>
      <c r="CP12" s="197">
        <f t="shared" si="0"/>
        <v>30000219</v>
      </c>
      <c r="CQ12" s="212">
        <f t="shared" si="1"/>
        <v>26107885</v>
      </c>
      <c r="CR12" s="212">
        <f t="shared" si="1"/>
        <v>82514018</v>
      </c>
      <c r="CS12" s="213">
        <f t="shared" si="1"/>
        <v>60252988</v>
      </c>
      <c r="CT12" s="1053">
        <f>SUM(CT9:CT11)</f>
        <v>65211236</v>
      </c>
      <c r="CU12" s="1054">
        <f>SUM(CU9:CU11)</f>
        <v>61540821</v>
      </c>
      <c r="CV12" s="1054">
        <f>SUM(CV9:CV11)</f>
        <v>193111938</v>
      </c>
      <c r="CW12" s="1055">
        <f>SUM(CW9:CW11)</f>
        <v>182268187</v>
      </c>
      <c r="CX12" s="197">
        <f t="shared" si="2"/>
        <v>95211455</v>
      </c>
      <c r="CY12" s="197">
        <f t="shared" si="3"/>
        <v>87648706</v>
      </c>
      <c r="CZ12" s="197">
        <f t="shared" si="3"/>
        <v>275625956</v>
      </c>
      <c r="DA12" s="198">
        <f t="shared" si="3"/>
        <v>242521175</v>
      </c>
    </row>
    <row r="13" spans="1:105" s="262" customFormat="1" ht="14.25">
      <c r="A13" s="282" t="s">
        <v>70</v>
      </c>
      <c r="B13" s="844"/>
      <c r="C13" s="184"/>
      <c r="D13" s="184"/>
      <c r="E13" s="1045"/>
      <c r="F13" s="169"/>
      <c r="G13" s="170"/>
      <c r="H13" s="170"/>
      <c r="I13" s="171"/>
      <c r="J13" s="207"/>
      <c r="K13" s="170"/>
      <c r="L13" s="170"/>
      <c r="M13" s="186"/>
      <c r="N13" s="169"/>
      <c r="O13" s="170"/>
      <c r="P13" s="170"/>
      <c r="Q13" s="186"/>
      <c r="R13" s="169"/>
      <c r="S13" s="170"/>
      <c r="T13" s="170"/>
      <c r="U13" s="186"/>
      <c r="V13" s="169"/>
      <c r="W13" s="170"/>
      <c r="X13" s="170"/>
      <c r="Y13" s="171"/>
      <c r="Z13" s="169"/>
      <c r="AA13" s="170"/>
      <c r="AB13" s="170"/>
      <c r="AC13" s="171"/>
      <c r="AD13" s="207"/>
      <c r="AE13" s="170"/>
      <c r="AF13" s="170"/>
      <c r="AG13" s="186"/>
      <c r="AH13" s="169"/>
      <c r="AI13" s="170"/>
      <c r="AJ13" s="170"/>
      <c r="AK13" s="171"/>
      <c r="AL13" s="207"/>
      <c r="AM13" s="170"/>
      <c r="AN13" s="170"/>
      <c r="AO13" s="171"/>
      <c r="AP13" s="207"/>
      <c r="AQ13" s="170"/>
      <c r="AR13" s="170"/>
      <c r="AS13" s="171"/>
      <c r="AT13" s="207"/>
      <c r="AU13" s="170"/>
      <c r="AV13" s="170"/>
      <c r="AW13" s="171"/>
      <c r="AX13" s="207"/>
      <c r="AY13" s="170"/>
      <c r="AZ13" s="170"/>
      <c r="BA13" s="186"/>
      <c r="BB13" s="169"/>
      <c r="BC13" s="170"/>
      <c r="BD13" s="170"/>
      <c r="BE13" s="171"/>
      <c r="BF13" s="207"/>
      <c r="BG13" s="170"/>
      <c r="BH13" s="170"/>
      <c r="BI13" s="186"/>
      <c r="BJ13" s="169"/>
      <c r="BK13" s="170"/>
      <c r="BL13" s="170"/>
      <c r="BM13" s="186"/>
      <c r="BN13" s="169"/>
      <c r="BO13" s="170"/>
      <c r="BP13" s="170"/>
      <c r="BQ13" s="186"/>
      <c r="BR13" s="169"/>
      <c r="BS13" s="170"/>
      <c r="BT13" s="170"/>
      <c r="BU13" s="186"/>
      <c r="BV13" s="1049"/>
      <c r="BW13" s="170"/>
      <c r="BX13" s="170"/>
      <c r="BY13" s="186"/>
      <c r="BZ13" s="169"/>
      <c r="CA13" s="170"/>
      <c r="CB13" s="170"/>
      <c r="CC13" s="186"/>
      <c r="CD13" s="1050"/>
      <c r="CE13" s="193"/>
      <c r="CF13" s="193"/>
      <c r="CG13" s="210"/>
      <c r="CH13" s="194"/>
      <c r="CI13" s="195"/>
      <c r="CJ13" s="195"/>
      <c r="CK13" s="211"/>
      <c r="CL13" s="169"/>
      <c r="CM13" s="170"/>
      <c r="CN13" s="170"/>
      <c r="CO13" s="186"/>
      <c r="CP13" s="197">
        <f t="shared" si="0"/>
        <v>0</v>
      </c>
      <c r="CQ13" s="212">
        <f t="shared" si="1"/>
        <v>0</v>
      </c>
      <c r="CR13" s="212">
        <f t="shared" si="1"/>
        <v>0</v>
      </c>
      <c r="CS13" s="213">
        <f t="shared" si="1"/>
        <v>0</v>
      </c>
      <c r="CT13" s="194"/>
      <c r="CU13" s="195"/>
      <c r="CV13" s="195"/>
      <c r="CW13" s="211"/>
      <c r="CX13" s="197">
        <f t="shared" si="2"/>
        <v>0</v>
      </c>
      <c r="CY13" s="197">
        <f t="shared" si="3"/>
        <v>0</v>
      </c>
      <c r="CZ13" s="197">
        <f t="shared" si="3"/>
        <v>0</v>
      </c>
      <c r="DA13" s="198">
        <f t="shared" si="3"/>
        <v>0</v>
      </c>
    </row>
    <row r="14" spans="1:105" s="262" customFormat="1" ht="14.25">
      <c r="A14" s="282" t="s">
        <v>71</v>
      </c>
      <c r="B14" s="844"/>
      <c r="C14" s="184"/>
      <c r="D14" s="184"/>
      <c r="E14" s="1045"/>
      <c r="F14" s="169"/>
      <c r="G14" s="170"/>
      <c r="H14" s="170"/>
      <c r="I14" s="171"/>
      <c r="J14" s="207"/>
      <c r="K14" s="170"/>
      <c r="L14" s="170"/>
      <c r="M14" s="186"/>
      <c r="N14" s="169"/>
      <c r="O14" s="170"/>
      <c r="P14" s="170"/>
      <c r="Q14" s="186"/>
      <c r="R14" s="169"/>
      <c r="S14" s="170"/>
      <c r="T14" s="170"/>
      <c r="U14" s="186"/>
      <c r="V14" s="169"/>
      <c r="W14" s="170"/>
      <c r="X14" s="170"/>
      <c r="Y14" s="171"/>
      <c r="Z14" s="169"/>
      <c r="AA14" s="170"/>
      <c r="AB14" s="170"/>
      <c r="AC14" s="171"/>
      <c r="AD14" s="207"/>
      <c r="AE14" s="170"/>
      <c r="AF14" s="170"/>
      <c r="AG14" s="186"/>
      <c r="AH14" s="169"/>
      <c r="AI14" s="170"/>
      <c r="AJ14" s="170"/>
      <c r="AK14" s="171"/>
      <c r="AL14" s="207"/>
      <c r="AM14" s="170"/>
      <c r="AN14" s="170"/>
      <c r="AO14" s="171"/>
      <c r="AP14" s="207"/>
      <c r="AQ14" s="170"/>
      <c r="AR14" s="170"/>
      <c r="AS14" s="171"/>
      <c r="AT14" s="207"/>
      <c r="AU14" s="170"/>
      <c r="AV14" s="170"/>
      <c r="AW14" s="171"/>
      <c r="AX14" s="207"/>
      <c r="AY14" s="170"/>
      <c r="AZ14" s="170"/>
      <c r="BA14" s="186"/>
      <c r="BB14" s="169"/>
      <c r="BC14" s="170"/>
      <c r="BD14" s="170"/>
      <c r="BE14" s="171"/>
      <c r="BF14" s="207"/>
      <c r="BG14" s="170"/>
      <c r="BH14" s="170"/>
      <c r="BI14" s="186"/>
      <c r="BJ14" s="169"/>
      <c r="BK14" s="170"/>
      <c r="BL14" s="170"/>
      <c r="BM14" s="186"/>
      <c r="BN14" s="169"/>
      <c r="BO14" s="170"/>
      <c r="BP14" s="170"/>
      <c r="BQ14" s="186"/>
      <c r="BR14" s="169"/>
      <c r="BS14" s="170"/>
      <c r="BT14" s="170"/>
      <c r="BU14" s="186"/>
      <c r="BV14" s="1049"/>
      <c r="BW14" s="170"/>
      <c r="BX14" s="170"/>
      <c r="BY14" s="186"/>
      <c r="BZ14" s="169"/>
      <c r="CA14" s="170"/>
      <c r="CB14" s="170"/>
      <c r="CC14" s="186"/>
      <c r="CD14" s="1050"/>
      <c r="CE14" s="193"/>
      <c r="CF14" s="193"/>
      <c r="CG14" s="210"/>
      <c r="CH14" s="194"/>
      <c r="CI14" s="195"/>
      <c r="CJ14" s="195"/>
      <c r="CK14" s="211"/>
      <c r="CL14" s="169"/>
      <c r="CM14" s="170"/>
      <c r="CN14" s="170"/>
      <c r="CO14" s="186"/>
      <c r="CP14" s="197">
        <f t="shared" si="0"/>
        <v>0</v>
      </c>
      <c r="CQ14" s="212">
        <f t="shared" si="1"/>
        <v>0</v>
      </c>
      <c r="CR14" s="212">
        <f t="shared" si="1"/>
        <v>0</v>
      </c>
      <c r="CS14" s="213">
        <f t="shared" si="1"/>
        <v>0</v>
      </c>
      <c r="CT14" s="194"/>
      <c r="CU14" s="195"/>
      <c r="CV14" s="195"/>
      <c r="CW14" s="211"/>
      <c r="CX14" s="197">
        <f t="shared" si="2"/>
        <v>0</v>
      </c>
      <c r="CY14" s="197">
        <f t="shared" si="3"/>
        <v>0</v>
      </c>
      <c r="CZ14" s="197">
        <f t="shared" si="3"/>
        <v>0</v>
      </c>
      <c r="DA14" s="198">
        <f t="shared" si="3"/>
        <v>0</v>
      </c>
    </row>
    <row r="15" spans="1:105" s="262" customFormat="1" ht="14.25">
      <c r="A15" s="281" t="s">
        <v>72</v>
      </c>
      <c r="B15" s="159">
        <v>782826</v>
      </c>
      <c r="C15" s="1057">
        <v>695938</v>
      </c>
      <c r="D15" s="1057">
        <v>2069969</v>
      </c>
      <c r="E15" s="1058">
        <v>1826809</v>
      </c>
      <c r="F15" s="197">
        <v>5556</v>
      </c>
      <c r="G15" s="201">
        <v>7801</v>
      </c>
      <c r="H15" s="201">
        <v>13592</v>
      </c>
      <c r="I15" s="202">
        <v>16657</v>
      </c>
      <c r="J15" s="212">
        <v>76284</v>
      </c>
      <c r="K15" s="201">
        <v>130041</v>
      </c>
      <c r="L15" s="201">
        <v>177751</v>
      </c>
      <c r="M15" s="203">
        <v>274382</v>
      </c>
      <c r="N15" s="197">
        <v>776336</v>
      </c>
      <c r="O15" s="201">
        <v>600786</v>
      </c>
      <c r="P15" s="201">
        <v>2195003</v>
      </c>
      <c r="Q15" s="203">
        <v>1645539</v>
      </c>
      <c r="R15" s="197">
        <v>252151</v>
      </c>
      <c r="S15" s="201">
        <v>209865</v>
      </c>
      <c r="T15" s="201">
        <v>686696</v>
      </c>
      <c r="U15" s="203">
        <v>529512</v>
      </c>
      <c r="V15" s="197"/>
      <c r="W15" s="201"/>
      <c r="X15" s="201"/>
      <c r="Y15" s="202"/>
      <c r="Z15" s="197">
        <v>77947</v>
      </c>
      <c r="AA15" s="201">
        <v>82382</v>
      </c>
      <c r="AB15" s="201">
        <v>283801</v>
      </c>
      <c r="AC15" s="202">
        <v>260595</v>
      </c>
      <c r="AD15" s="212">
        <v>198114</v>
      </c>
      <c r="AE15" s="201">
        <v>138409</v>
      </c>
      <c r="AF15" s="201">
        <v>438524</v>
      </c>
      <c r="AG15" s="203">
        <v>296486</v>
      </c>
      <c r="AH15" s="197">
        <v>383618</v>
      </c>
      <c r="AI15" s="201">
        <v>240598</v>
      </c>
      <c r="AJ15" s="201">
        <v>1164761</v>
      </c>
      <c r="AK15" s="202">
        <v>895175</v>
      </c>
      <c r="AL15" s="212">
        <v>82922</v>
      </c>
      <c r="AM15" s="201">
        <v>78327</v>
      </c>
      <c r="AN15" s="201">
        <v>185900</v>
      </c>
      <c r="AO15" s="202">
        <v>177687</v>
      </c>
      <c r="AP15" s="212">
        <v>768013</v>
      </c>
      <c r="AQ15" s="201">
        <v>567832</v>
      </c>
      <c r="AR15" s="201">
        <v>1864526</v>
      </c>
      <c r="AS15" s="202">
        <v>1452950</v>
      </c>
      <c r="AT15" s="201">
        <v>1173540</v>
      </c>
      <c r="AU15" s="201">
        <v>1039297</v>
      </c>
      <c r="AV15" s="201">
        <v>3365779</v>
      </c>
      <c r="AW15" s="202">
        <v>3195181</v>
      </c>
      <c r="AX15" s="1047">
        <v>27238</v>
      </c>
      <c r="AY15" s="190">
        <v>28776</v>
      </c>
      <c r="AZ15" s="190">
        <v>91311</v>
      </c>
      <c r="BA15" s="1048">
        <v>85980</v>
      </c>
      <c r="BB15" s="197">
        <v>20665</v>
      </c>
      <c r="BC15" s="201">
        <v>13750</v>
      </c>
      <c r="BD15" s="201">
        <v>51388</v>
      </c>
      <c r="BE15" s="202">
        <v>38288</v>
      </c>
      <c r="BF15" s="1059">
        <v>830801</v>
      </c>
      <c r="BG15" s="1060">
        <v>614582</v>
      </c>
      <c r="BH15" s="1060">
        <v>2234523</v>
      </c>
      <c r="BI15" s="1061">
        <v>1726290</v>
      </c>
      <c r="BJ15" s="197">
        <v>834403</v>
      </c>
      <c r="BK15" s="201">
        <v>770889</v>
      </c>
      <c r="BL15" s="201">
        <v>3604784</v>
      </c>
      <c r="BM15" s="203">
        <v>2468558</v>
      </c>
      <c r="BN15" s="197">
        <v>76189</v>
      </c>
      <c r="BO15" s="201">
        <v>73856</v>
      </c>
      <c r="BP15" s="201">
        <v>232915</v>
      </c>
      <c r="BQ15" s="203">
        <v>224474</v>
      </c>
      <c r="BR15" s="197">
        <v>387198</v>
      </c>
      <c r="BS15" s="201">
        <v>420368</v>
      </c>
      <c r="BT15" s="201">
        <v>1237088</v>
      </c>
      <c r="BU15" s="203">
        <v>1304925</v>
      </c>
      <c r="BV15" s="1049"/>
      <c r="BW15" s="170"/>
      <c r="BX15" s="170"/>
      <c r="BY15" s="186"/>
      <c r="BZ15" s="374">
        <v>1762247</v>
      </c>
      <c r="CA15" s="367">
        <v>1593753</v>
      </c>
      <c r="CB15" s="367">
        <v>5023714</v>
      </c>
      <c r="CC15" s="281">
        <v>4434074</v>
      </c>
      <c r="CD15" s="1050">
        <v>57144</v>
      </c>
      <c r="CE15" s="193">
        <v>54842</v>
      </c>
      <c r="CF15" s="193">
        <v>178136</v>
      </c>
      <c r="CG15" s="210">
        <v>185996</v>
      </c>
      <c r="CH15" s="194">
        <v>5078</v>
      </c>
      <c r="CI15" s="195">
        <v>9156</v>
      </c>
      <c r="CJ15" s="195">
        <v>15108</v>
      </c>
      <c r="CK15" s="211">
        <v>24820</v>
      </c>
      <c r="CL15" s="197">
        <v>851384</v>
      </c>
      <c r="CM15" s="201">
        <v>650006</v>
      </c>
      <c r="CN15" s="201">
        <v>2173313</v>
      </c>
      <c r="CO15" s="203">
        <v>1584640</v>
      </c>
      <c r="CP15" s="197">
        <f t="shared" si="0"/>
        <v>9429654</v>
      </c>
      <c r="CQ15" s="212">
        <f t="shared" si="1"/>
        <v>8021254</v>
      </c>
      <c r="CR15" s="212">
        <f t="shared" si="1"/>
        <v>27288582</v>
      </c>
      <c r="CS15" s="213">
        <f t="shared" si="1"/>
        <v>22649018</v>
      </c>
      <c r="CT15" s="197">
        <v>54682181</v>
      </c>
      <c r="CU15" s="201">
        <v>61607238</v>
      </c>
      <c r="CV15" s="201">
        <v>192169567</v>
      </c>
      <c r="CW15" s="203">
        <v>181658917</v>
      </c>
      <c r="CX15" s="197">
        <f t="shared" si="2"/>
        <v>64111835</v>
      </c>
      <c r="CY15" s="197">
        <f t="shared" si="3"/>
        <v>69628492</v>
      </c>
      <c r="CZ15" s="197">
        <f t="shared" si="3"/>
        <v>219458149</v>
      </c>
      <c r="DA15" s="198">
        <f t="shared" si="3"/>
        <v>204307935</v>
      </c>
    </row>
    <row r="16" spans="1:105" s="262" customFormat="1" ht="14.25">
      <c r="A16" s="281" t="s">
        <v>9</v>
      </c>
      <c r="B16" s="844">
        <v>87481</v>
      </c>
      <c r="C16" s="184">
        <v>53086</v>
      </c>
      <c r="D16" s="184">
        <v>265759</v>
      </c>
      <c r="E16" s="1045">
        <v>191095</v>
      </c>
      <c r="F16" s="169">
        <v>3170</v>
      </c>
      <c r="G16" s="170">
        <v>4060</v>
      </c>
      <c r="H16" s="170">
        <v>8447</v>
      </c>
      <c r="I16" s="171">
        <v>5360</v>
      </c>
      <c r="J16" s="207">
        <v>967</v>
      </c>
      <c r="K16" s="170">
        <v>8302</v>
      </c>
      <c r="L16" s="170">
        <v>17396</v>
      </c>
      <c r="M16" s="186">
        <v>20034</v>
      </c>
      <c r="N16" s="169">
        <v>26365</v>
      </c>
      <c r="O16" s="170">
        <v>27927</v>
      </c>
      <c r="P16" s="170">
        <v>126130</v>
      </c>
      <c r="Q16" s="186">
        <v>64494</v>
      </c>
      <c r="R16" s="169">
        <v>283870</v>
      </c>
      <c r="S16" s="170">
        <v>221600</v>
      </c>
      <c r="T16" s="170">
        <v>838337</v>
      </c>
      <c r="U16" s="186">
        <v>616169</v>
      </c>
      <c r="V16" s="169">
        <v>321</v>
      </c>
      <c r="W16" s="170">
        <v>335</v>
      </c>
      <c r="X16" s="170">
        <v>1200</v>
      </c>
      <c r="Y16" s="171">
        <v>335</v>
      </c>
      <c r="Z16" s="169">
        <v>24591</v>
      </c>
      <c r="AA16" s="170">
        <v>37425</v>
      </c>
      <c r="AB16" s="170">
        <v>93748</v>
      </c>
      <c r="AC16" s="171">
        <v>71201</v>
      </c>
      <c r="AD16" s="207">
        <v>13134</v>
      </c>
      <c r="AE16" s="170">
        <v>8182</v>
      </c>
      <c r="AF16" s="170">
        <v>31927</v>
      </c>
      <c r="AG16" s="186">
        <v>18791</v>
      </c>
      <c r="AH16" s="169">
        <v>171960</v>
      </c>
      <c r="AI16" s="170">
        <v>138725</v>
      </c>
      <c r="AJ16" s="170">
        <v>468614</v>
      </c>
      <c r="AK16" s="171">
        <v>386348</v>
      </c>
      <c r="AL16" s="207">
        <v>23443</v>
      </c>
      <c r="AM16" s="170">
        <v>19365</v>
      </c>
      <c r="AN16" s="170">
        <v>48830</v>
      </c>
      <c r="AO16" s="171">
        <v>82584</v>
      </c>
      <c r="AP16" s="207">
        <v>183194</v>
      </c>
      <c r="AQ16" s="170">
        <v>160661</v>
      </c>
      <c r="AR16" s="170">
        <v>597484</v>
      </c>
      <c r="AS16" s="171">
        <v>536221</v>
      </c>
      <c r="AT16" s="170">
        <v>269862</v>
      </c>
      <c r="AU16" s="170">
        <v>207084</v>
      </c>
      <c r="AV16" s="170">
        <v>774002</v>
      </c>
      <c r="AW16" s="171">
        <v>611222</v>
      </c>
      <c r="AX16" s="1047">
        <v>165</v>
      </c>
      <c r="AY16" s="190">
        <v>7811</v>
      </c>
      <c r="AZ16" s="190">
        <v>3671</v>
      </c>
      <c r="BA16" s="1048">
        <v>19519</v>
      </c>
      <c r="BB16" s="169">
        <v>14782</v>
      </c>
      <c r="BC16" s="170">
        <v>12817</v>
      </c>
      <c r="BD16" s="170">
        <v>66487</v>
      </c>
      <c r="BE16" s="171">
        <v>27830</v>
      </c>
      <c r="BF16" s="207">
        <v>79679</v>
      </c>
      <c r="BG16" s="170">
        <v>-7006</v>
      </c>
      <c r="BH16" s="170">
        <v>205800</v>
      </c>
      <c r="BI16" s="186">
        <v>118097</v>
      </c>
      <c r="BJ16" s="169">
        <v>4727</v>
      </c>
      <c r="BK16" s="170">
        <v>1646</v>
      </c>
      <c r="BL16" s="170">
        <v>12767</v>
      </c>
      <c r="BM16" s="186">
        <v>10299</v>
      </c>
      <c r="BN16" s="169">
        <v>23368</v>
      </c>
      <c r="BO16" s="170">
        <v>11921</v>
      </c>
      <c r="BP16" s="170">
        <v>70017</v>
      </c>
      <c r="BQ16" s="186">
        <v>37866</v>
      </c>
      <c r="BR16" s="169">
        <v>83712</v>
      </c>
      <c r="BS16" s="170">
        <v>67601</v>
      </c>
      <c r="BT16" s="170">
        <v>275132</v>
      </c>
      <c r="BU16" s="186">
        <v>189445</v>
      </c>
      <c r="BV16" s="1049"/>
      <c r="BW16" s="170"/>
      <c r="BX16" s="170"/>
      <c r="BY16" s="186"/>
      <c r="BZ16" s="374">
        <v>11303</v>
      </c>
      <c r="CA16" s="367">
        <v>10111</v>
      </c>
      <c r="CB16" s="367">
        <v>37454</v>
      </c>
      <c r="CC16" s="281">
        <v>37316</v>
      </c>
      <c r="CD16" s="1050">
        <v>26652</v>
      </c>
      <c r="CE16" s="193">
        <v>23400</v>
      </c>
      <c r="CF16" s="193">
        <v>66551</v>
      </c>
      <c r="CG16" s="210">
        <v>50622</v>
      </c>
      <c r="CH16" s="194">
        <v>66</v>
      </c>
      <c r="CI16" s="195">
        <v>87</v>
      </c>
      <c r="CJ16" s="195">
        <v>2286</v>
      </c>
      <c r="CK16" s="211">
        <v>2002</v>
      </c>
      <c r="CL16" s="169">
        <v>180551</v>
      </c>
      <c r="CM16" s="170">
        <v>111915</v>
      </c>
      <c r="CN16" s="170">
        <v>453200</v>
      </c>
      <c r="CO16" s="186">
        <v>360788</v>
      </c>
      <c r="CP16" s="197">
        <f t="shared" si="0"/>
        <v>1513363</v>
      </c>
      <c r="CQ16" s="212">
        <f t="shared" si="1"/>
        <v>1127055</v>
      </c>
      <c r="CR16" s="212">
        <f t="shared" si="1"/>
        <v>4465239</v>
      </c>
      <c r="CS16" s="213">
        <f t="shared" si="1"/>
        <v>3457638</v>
      </c>
      <c r="CT16" s="169">
        <v>8659</v>
      </c>
      <c r="CU16" s="170">
        <v>6718</v>
      </c>
      <c r="CV16" s="170">
        <v>21373</v>
      </c>
      <c r="CW16" s="186">
        <v>22747</v>
      </c>
      <c r="CX16" s="197">
        <f t="shared" si="2"/>
        <v>1522022</v>
      </c>
      <c r="CY16" s="197">
        <f t="shared" si="3"/>
        <v>1133773</v>
      </c>
      <c r="CZ16" s="197">
        <f t="shared" si="3"/>
        <v>4486612</v>
      </c>
      <c r="DA16" s="198">
        <f t="shared" si="3"/>
        <v>3480385</v>
      </c>
    </row>
    <row r="17" spans="1:105" s="262" customFormat="1" ht="14.25">
      <c r="A17" s="281" t="s">
        <v>73</v>
      </c>
      <c r="B17" s="844">
        <v>753814</v>
      </c>
      <c r="C17" s="184">
        <v>275771</v>
      </c>
      <c r="D17" s="184">
        <v>1841770</v>
      </c>
      <c r="E17" s="1045">
        <v>670270</v>
      </c>
      <c r="F17" s="169">
        <v>7863</v>
      </c>
      <c r="G17" s="170">
        <v>9718</v>
      </c>
      <c r="H17" s="170">
        <v>18283</v>
      </c>
      <c r="I17" s="171">
        <v>34185</v>
      </c>
      <c r="J17" s="207">
        <v>-71168</v>
      </c>
      <c r="K17" s="170">
        <v>25298</v>
      </c>
      <c r="L17" s="170">
        <v>-31975</v>
      </c>
      <c r="M17" s="186">
        <v>57398</v>
      </c>
      <c r="N17" s="169">
        <v>291728</v>
      </c>
      <c r="O17" s="170">
        <v>151174</v>
      </c>
      <c r="P17" s="170">
        <v>682232</v>
      </c>
      <c r="Q17" s="186">
        <v>309784</v>
      </c>
      <c r="R17" s="169">
        <v>53991</v>
      </c>
      <c r="S17" s="170">
        <v>31932</v>
      </c>
      <c r="T17" s="170">
        <v>194948</v>
      </c>
      <c r="U17" s="186">
        <v>73706</v>
      </c>
      <c r="V17" s="169">
        <v>3431</v>
      </c>
      <c r="W17" s="170">
        <v>1774</v>
      </c>
      <c r="X17" s="170">
        <v>9169</v>
      </c>
      <c r="Y17" s="171">
        <v>1950</v>
      </c>
      <c r="Z17" s="169">
        <v>36505</v>
      </c>
      <c r="AA17" s="170">
        <v>158497</v>
      </c>
      <c r="AB17" s="170">
        <v>384657</v>
      </c>
      <c r="AC17" s="171">
        <v>345345</v>
      </c>
      <c r="AD17" s="207">
        <v>60400</v>
      </c>
      <c r="AE17" s="170">
        <v>39543</v>
      </c>
      <c r="AF17" s="170">
        <v>125444</v>
      </c>
      <c r="AG17" s="186">
        <v>84908</v>
      </c>
      <c r="AH17" s="169">
        <v>34643</v>
      </c>
      <c r="AI17" s="170">
        <v>28863</v>
      </c>
      <c r="AJ17" s="170">
        <v>114528</v>
      </c>
      <c r="AK17" s="171">
        <v>104921</v>
      </c>
      <c r="AL17" s="207">
        <v>126214</v>
      </c>
      <c r="AM17" s="170">
        <v>26893</v>
      </c>
      <c r="AN17" s="170">
        <v>274997</v>
      </c>
      <c r="AO17" s="171">
        <v>70491</v>
      </c>
      <c r="AP17" s="207">
        <v>2978027</v>
      </c>
      <c r="AQ17" s="170">
        <v>3351267</v>
      </c>
      <c r="AR17" s="170">
        <v>8699274</v>
      </c>
      <c r="AS17" s="171">
        <v>8745622</v>
      </c>
      <c r="AT17" s="170">
        <v>3607000</v>
      </c>
      <c r="AU17" s="170">
        <v>3211157</v>
      </c>
      <c r="AV17" s="170">
        <v>11278679</v>
      </c>
      <c r="AW17" s="171">
        <v>10214641</v>
      </c>
      <c r="AX17" s="1047">
        <v>350516</v>
      </c>
      <c r="AY17" s="190">
        <v>292841</v>
      </c>
      <c r="AZ17" s="190">
        <v>977422</v>
      </c>
      <c r="BA17" s="1048">
        <v>893781</v>
      </c>
      <c r="BB17" s="169">
        <v>401123</v>
      </c>
      <c r="BC17" s="170">
        <v>330490</v>
      </c>
      <c r="BD17" s="170">
        <v>1030578</v>
      </c>
      <c r="BE17" s="171">
        <v>870689</v>
      </c>
      <c r="BF17" s="207">
        <v>1212532</v>
      </c>
      <c r="BG17" s="170">
        <v>1041811</v>
      </c>
      <c r="BH17" s="170">
        <v>2306431</v>
      </c>
      <c r="BI17" s="186">
        <v>1948994</v>
      </c>
      <c r="BJ17" s="169">
        <v>82083</v>
      </c>
      <c r="BK17" s="170">
        <v>101979</v>
      </c>
      <c r="BL17" s="170">
        <v>211388</v>
      </c>
      <c r="BM17" s="186">
        <v>229941</v>
      </c>
      <c r="BN17" s="169">
        <v>804126</v>
      </c>
      <c r="BO17" s="170">
        <v>670117</v>
      </c>
      <c r="BP17" s="170">
        <v>2205243</v>
      </c>
      <c r="BQ17" s="186">
        <v>1892527</v>
      </c>
      <c r="BR17" s="169">
        <v>69985</v>
      </c>
      <c r="BS17" s="170">
        <v>32936</v>
      </c>
      <c r="BT17" s="170">
        <v>221343</v>
      </c>
      <c r="BU17" s="186">
        <v>86392</v>
      </c>
      <c r="BV17" s="1049"/>
      <c r="BW17" s="170"/>
      <c r="BX17" s="170"/>
      <c r="BY17" s="186"/>
      <c r="BZ17" s="374">
        <v>56843</v>
      </c>
      <c r="CA17" s="367">
        <v>35027</v>
      </c>
      <c r="CB17" s="367">
        <v>137878</v>
      </c>
      <c r="CC17" s="281">
        <v>104636</v>
      </c>
      <c r="CD17" s="1050">
        <v>280465</v>
      </c>
      <c r="CE17" s="193">
        <v>238102</v>
      </c>
      <c r="CF17" s="193">
        <v>814635</v>
      </c>
      <c r="CG17" s="210">
        <v>693239</v>
      </c>
      <c r="CH17" s="194"/>
      <c r="CI17" s="195"/>
      <c r="CJ17" s="195"/>
      <c r="CK17" s="211"/>
      <c r="CL17" s="169">
        <v>45241</v>
      </c>
      <c r="CM17" s="170">
        <v>23502</v>
      </c>
      <c r="CN17" s="170">
        <v>60787</v>
      </c>
      <c r="CO17" s="186">
        <v>31244</v>
      </c>
      <c r="CP17" s="197">
        <f t="shared" si="0"/>
        <v>11185362</v>
      </c>
      <c r="CQ17" s="212">
        <f t="shared" si="1"/>
        <v>10078692</v>
      </c>
      <c r="CR17" s="212">
        <f t="shared" si="1"/>
        <v>31557711</v>
      </c>
      <c r="CS17" s="213">
        <f t="shared" si="1"/>
        <v>27464664</v>
      </c>
      <c r="CT17" s="169">
        <v>68182</v>
      </c>
      <c r="CU17" s="170">
        <v>57145</v>
      </c>
      <c r="CV17" s="170">
        <v>171732</v>
      </c>
      <c r="CW17" s="186">
        <v>157813</v>
      </c>
      <c r="CX17" s="197">
        <f t="shared" si="2"/>
        <v>11253544</v>
      </c>
      <c r="CY17" s="197">
        <f t="shared" si="3"/>
        <v>10135837</v>
      </c>
      <c r="CZ17" s="197">
        <f t="shared" si="3"/>
        <v>31729443</v>
      </c>
      <c r="DA17" s="198">
        <f t="shared" si="3"/>
        <v>27622477</v>
      </c>
    </row>
    <row r="18" spans="1:105" s="262" customFormat="1" ht="14.25">
      <c r="A18" s="281" t="s">
        <v>74</v>
      </c>
      <c r="B18" s="844"/>
      <c r="C18" s="184"/>
      <c r="D18" s="184"/>
      <c r="E18" s="1045"/>
      <c r="F18" s="169"/>
      <c r="G18" s="170"/>
      <c r="H18" s="170"/>
      <c r="I18" s="171"/>
      <c r="J18" s="207"/>
      <c r="K18" s="170"/>
      <c r="L18" s="170"/>
      <c r="M18" s="186"/>
      <c r="N18" s="169"/>
      <c r="O18" s="170"/>
      <c r="P18" s="170"/>
      <c r="Q18" s="186"/>
      <c r="R18" s="169"/>
      <c r="S18" s="170"/>
      <c r="T18" s="170"/>
      <c r="U18" s="186"/>
      <c r="V18" s="169">
        <v>715122</v>
      </c>
      <c r="W18" s="170">
        <v>414361</v>
      </c>
      <c r="X18" s="170">
        <v>1839634</v>
      </c>
      <c r="Y18" s="171">
        <v>1261724</v>
      </c>
      <c r="Z18" s="169">
        <v>18063</v>
      </c>
      <c r="AA18" s="170">
        <v>27287</v>
      </c>
      <c r="AB18" s="170">
        <v>43696</v>
      </c>
      <c r="AC18" s="171">
        <v>27287</v>
      </c>
      <c r="AD18" s="207"/>
      <c r="AE18" s="170"/>
      <c r="AF18" s="170"/>
      <c r="AG18" s="186"/>
      <c r="AH18" s="169">
        <v>40857</v>
      </c>
      <c r="AI18" s="170">
        <v>26585</v>
      </c>
      <c r="AJ18" s="170">
        <v>94739</v>
      </c>
      <c r="AK18" s="171">
        <v>53558</v>
      </c>
      <c r="AL18" s="207"/>
      <c r="AM18" s="170"/>
      <c r="AN18" s="170"/>
      <c r="AO18" s="171"/>
      <c r="AP18" s="207"/>
      <c r="AQ18" s="170"/>
      <c r="AR18" s="170"/>
      <c r="AS18" s="171"/>
      <c r="AT18" s="207"/>
      <c r="AU18" s="170"/>
      <c r="AV18" s="170"/>
      <c r="AW18" s="171"/>
      <c r="AX18" s="1047"/>
      <c r="AY18" s="190"/>
      <c r="AZ18" s="190"/>
      <c r="BA18" s="1048"/>
      <c r="BB18" s="169"/>
      <c r="BC18" s="170"/>
      <c r="BD18" s="170"/>
      <c r="BE18" s="171"/>
      <c r="BF18" s="207"/>
      <c r="BG18" s="170"/>
      <c r="BH18" s="170"/>
      <c r="BI18" s="186"/>
      <c r="BJ18" s="169">
        <v>2996657</v>
      </c>
      <c r="BK18" s="170">
        <v>2668859</v>
      </c>
      <c r="BL18" s="170">
        <v>6059476</v>
      </c>
      <c r="BM18" s="186">
        <v>6219955</v>
      </c>
      <c r="BN18" s="169"/>
      <c r="BO18" s="170"/>
      <c r="BP18" s="170"/>
      <c r="BQ18" s="186"/>
      <c r="BR18" s="169"/>
      <c r="BS18" s="170"/>
      <c r="BT18" s="170"/>
      <c r="BU18" s="186"/>
      <c r="BV18" s="1049"/>
      <c r="BW18" s="170"/>
      <c r="BX18" s="170"/>
      <c r="BY18" s="186"/>
      <c r="BZ18" s="374">
        <v>2689098</v>
      </c>
      <c r="CA18" s="367">
        <v>2119966</v>
      </c>
      <c r="CB18" s="367">
        <v>8261773</v>
      </c>
      <c r="CC18" s="281">
        <v>6631217</v>
      </c>
      <c r="CD18" s="1050"/>
      <c r="CE18" s="193"/>
      <c r="CF18" s="193"/>
      <c r="CG18" s="210"/>
      <c r="CH18" s="194">
        <v>561311</v>
      </c>
      <c r="CI18" s="195">
        <v>536371</v>
      </c>
      <c r="CJ18" s="195">
        <v>1482471</v>
      </c>
      <c r="CK18" s="211">
        <v>1399085</v>
      </c>
      <c r="CL18" s="169">
        <v>1290853</v>
      </c>
      <c r="CM18" s="170">
        <v>719575</v>
      </c>
      <c r="CN18" s="170">
        <v>2953078</v>
      </c>
      <c r="CO18" s="186">
        <v>1527720</v>
      </c>
      <c r="CP18" s="197">
        <f t="shared" si="0"/>
        <v>8311961</v>
      </c>
      <c r="CQ18" s="212">
        <f t="shared" si="1"/>
        <v>6513004</v>
      </c>
      <c r="CR18" s="212">
        <f t="shared" si="1"/>
        <v>20734867</v>
      </c>
      <c r="CS18" s="213">
        <f t="shared" si="1"/>
        <v>17120546</v>
      </c>
      <c r="CT18" s="169">
        <v>450495</v>
      </c>
      <c r="CU18" s="170">
        <v>313824</v>
      </c>
      <c r="CV18" s="170">
        <v>1085372</v>
      </c>
      <c r="CW18" s="186">
        <v>873282</v>
      </c>
      <c r="CX18" s="197">
        <f t="shared" si="2"/>
        <v>8762456</v>
      </c>
      <c r="CY18" s="197">
        <f t="shared" si="3"/>
        <v>6826828</v>
      </c>
      <c r="CZ18" s="197">
        <f t="shared" si="3"/>
        <v>21820239</v>
      </c>
      <c r="DA18" s="198">
        <f t="shared" si="3"/>
        <v>17993828</v>
      </c>
    </row>
    <row r="19" spans="1:105" s="262" customFormat="1" ht="14.25">
      <c r="A19" s="281" t="s">
        <v>75</v>
      </c>
      <c r="B19" s="844"/>
      <c r="C19" s="184"/>
      <c r="D19" s="184"/>
      <c r="E19" s="1045"/>
      <c r="F19" s="169"/>
      <c r="G19" s="170"/>
      <c r="H19" s="170"/>
      <c r="I19" s="171"/>
      <c r="J19" s="207"/>
      <c r="K19" s="170"/>
      <c r="L19" s="170"/>
      <c r="M19" s="186"/>
      <c r="N19" s="169">
        <v>19266</v>
      </c>
      <c r="O19" s="170"/>
      <c r="P19" s="170">
        <v>29930</v>
      </c>
      <c r="Q19" s="186"/>
      <c r="R19" s="169"/>
      <c r="S19" s="170"/>
      <c r="T19" s="170"/>
      <c r="U19" s="186"/>
      <c r="V19" s="169"/>
      <c r="W19" s="170"/>
      <c r="X19" s="170"/>
      <c r="Y19" s="171"/>
      <c r="Z19" s="169">
        <v>2566</v>
      </c>
      <c r="AA19" s="170"/>
      <c r="AB19" s="170">
        <v>5500</v>
      </c>
      <c r="AC19" s="171"/>
      <c r="AD19" s="207"/>
      <c r="AE19" s="170"/>
      <c r="AF19" s="170"/>
      <c r="AG19" s="186"/>
      <c r="AH19" s="169"/>
      <c r="AI19" s="170"/>
      <c r="AJ19" s="170"/>
      <c r="AK19" s="171"/>
      <c r="AL19" s="207"/>
      <c r="AM19" s="170"/>
      <c r="AN19" s="170"/>
      <c r="AO19" s="171"/>
      <c r="AP19" s="207">
        <v>875</v>
      </c>
      <c r="AQ19" s="170">
        <v>5495</v>
      </c>
      <c r="AR19" s="170">
        <v>4347</v>
      </c>
      <c r="AS19" s="171">
        <v>10453</v>
      </c>
      <c r="AT19" s="207"/>
      <c r="AU19" s="170"/>
      <c r="AX19" s="1047"/>
      <c r="AY19" s="190"/>
      <c r="AZ19" s="190"/>
      <c r="BA19" s="1048"/>
      <c r="BB19" s="169"/>
      <c r="BC19" s="170"/>
      <c r="BD19" s="170"/>
      <c r="BE19" s="171"/>
      <c r="BF19" s="207"/>
      <c r="BG19" s="170"/>
      <c r="BH19" s="170"/>
      <c r="BI19" s="186"/>
      <c r="BJ19" s="169"/>
      <c r="BK19" s="170"/>
      <c r="BL19" s="170"/>
      <c r="BM19" s="186"/>
      <c r="BN19" s="169"/>
      <c r="BO19" s="170"/>
      <c r="BP19" s="170"/>
      <c r="BQ19" s="186"/>
      <c r="BR19" s="169"/>
      <c r="BS19" s="170"/>
      <c r="BT19" s="170"/>
      <c r="BU19" s="186"/>
      <c r="BV19" s="1049"/>
      <c r="BW19" s="170"/>
      <c r="BX19" s="170"/>
      <c r="BY19" s="186"/>
      <c r="BZ19" s="169"/>
      <c r="CA19" s="170"/>
      <c r="CB19" s="170"/>
      <c r="CC19" s="186"/>
      <c r="CD19" s="1050"/>
      <c r="CE19" s="193"/>
      <c r="CF19" s="193"/>
      <c r="CG19" s="210"/>
      <c r="CH19" s="194"/>
      <c r="CI19" s="195"/>
      <c r="CJ19" s="195"/>
      <c r="CK19" s="211"/>
      <c r="CL19" s="169"/>
      <c r="CM19" s="170"/>
      <c r="CN19" s="170"/>
      <c r="CO19" s="186"/>
      <c r="CP19" s="197">
        <f t="shared" si="0"/>
        <v>22707</v>
      </c>
      <c r="CQ19" s="212">
        <f t="shared" si="1"/>
        <v>5495</v>
      </c>
      <c r="CR19" s="212">
        <f t="shared" si="1"/>
        <v>39777</v>
      </c>
      <c r="CS19" s="213">
        <f t="shared" si="1"/>
        <v>10453</v>
      </c>
      <c r="CT19" s="169"/>
      <c r="CU19" s="170"/>
      <c r="CV19" s="170"/>
      <c r="CW19" s="186"/>
      <c r="CX19" s="197">
        <f t="shared" si="2"/>
        <v>22707</v>
      </c>
      <c r="CY19" s="197">
        <f t="shared" si="3"/>
        <v>5495</v>
      </c>
      <c r="CZ19" s="197">
        <f t="shared" si="3"/>
        <v>39777</v>
      </c>
      <c r="DA19" s="198">
        <f t="shared" si="3"/>
        <v>10453</v>
      </c>
    </row>
    <row r="20" spans="1:105" s="262" customFormat="1" ht="14.25">
      <c r="A20" s="281" t="s">
        <v>18</v>
      </c>
      <c r="B20" s="159"/>
      <c r="C20" s="1057"/>
      <c r="D20" s="1057"/>
      <c r="E20" s="1058"/>
      <c r="F20" s="197"/>
      <c r="G20" s="201"/>
      <c r="H20" s="201"/>
      <c r="I20" s="202"/>
      <c r="J20" s="212"/>
      <c r="K20" s="201"/>
      <c r="L20" s="201"/>
      <c r="M20" s="203"/>
      <c r="N20" s="197"/>
      <c r="O20" s="201"/>
      <c r="P20" s="201"/>
      <c r="Q20" s="203"/>
      <c r="R20" s="197"/>
      <c r="S20" s="201"/>
      <c r="T20" s="201"/>
      <c r="U20" s="203"/>
      <c r="V20" s="197"/>
      <c r="W20" s="201"/>
      <c r="X20" s="201"/>
      <c r="Y20" s="202"/>
      <c r="Z20" s="197"/>
      <c r="AA20" s="201"/>
      <c r="AB20" s="201"/>
      <c r="AC20" s="202"/>
      <c r="AD20" s="212"/>
      <c r="AE20" s="201"/>
      <c r="AF20" s="201"/>
      <c r="AG20" s="203"/>
      <c r="AH20" s="197"/>
      <c r="AI20" s="201"/>
      <c r="AJ20" s="201"/>
      <c r="AK20" s="202"/>
      <c r="AL20" s="212"/>
      <c r="AM20" s="201"/>
      <c r="AN20" s="201"/>
      <c r="AO20" s="202"/>
      <c r="AP20" s="212"/>
      <c r="AQ20" s="201"/>
      <c r="AR20" s="201"/>
      <c r="AS20" s="202">
        <v>3</v>
      </c>
      <c r="AT20" s="212"/>
      <c r="AU20" s="201"/>
      <c r="AV20" s="201"/>
      <c r="AW20" s="202"/>
      <c r="AX20" s="1047"/>
      <c r="AY20" s="190"/>
      <c r="AZ20" s="190"/>
      <c r="BA20" s="1048"/>
      <c r="BB20" s="197">
        <v>609</v>
      </c>
      <c r="BC20" s="201">
        <v>1099</v>
      </c>
      <c r="BD20" s="201">
        <v>2029</v>
      </c>
      <c r="BE20" s="202">
        <v>1765</v>
      </c>
      <c r="BF20" s="1059"/>
      <c r="BG20" s="1060"/>
      <c r="BH20" s="1060"/>
      <c r="BI20" s="1061"/>
      <c r="BJ20" s="197"/>
      <c r="BK20" s="201"/>
      <c r="BL20" s="201"/>
      <c r="BM20" s="203"/>
      <c r="BN20" s="197"/>
      <c r="BO20" s="201"/>
      <c r="BP20" s="201"/>
      <c r="BQ20" s="203"/>
      <c r="BR20" s="197"/>
      <c r="BS20" s="201"/>
      <c r="BT20" s="201"/>
      <c r="BU20" s="203"/>
      <c r="BV20" s="1049"/>
      <c r="BW20" s="170"/>
      <c r="BX20" s="170"/>
      <c r="BY20" s="186"/>
      <c r="BZ20" s="374"/>
      <c r="CA20" s="367">
        <v>5</v>
      </c>
      <c r="CB20" s="367">
        <v>-1</v>
      </c>
      <c r="CC20" s="281">
        <v>55</v>
      </c>
      <c r="CD20" s="1050"/>
      <c r="CE20" s="193"/>
      <c r="CF20" s="193"/>
      <c r="CG20" s="210"/>
      <c r="CH20" s="194"/>
      <c r="CI20" s="195"/>
      <c r="CJ20" s="195"/>
      <c r="CK20" s="211"/>
      <c r="CL20" s="197"/>
      <c r="CM20" s="201"/>
      <c r="CN20" s="201"/>
      <c r="CO20" s="203"/>
      <c r="CP20" s="197">
        <f t="shared" si="0"/>
        <v>609</v>
      </c>
      <c r="CQ20" s="212">
        <f t="shared" si="1"/>
        <v>1104</v>
      </c>
      <c r="CR20" s="212">
        <f t="shared" si="1"/>
        <v>2028</v>
      </c>
      <c r="CS20" s="213">
        <f t="shared" si="1"/>
        <v>1823</v>
      </c>
      <c r="CT20" s="197"/>
      <c r="CU20" s="201"/>
      <c r="CV20" s="201"/>
      <c r="CW20" s="203"/>
      <c r="CX20" s="197">
        <f t="shared" si="2"/>
        <v>609</v>
      </c>
      <c r="CY20" s="197">
        <f t="shared" si="3"/>
        <v>1104</v>
      </c>
      <c r="CZ20" s="197">
        <f t="shared" si="3"/>
        <v>2028</v>
      </c>
      <c r="DA20" s="198">
        <f t="shared" si="3"/>
        <v>1823</v>
      </c>
    </row>
    <row r="21" spans="1:105" s="262" customFormat="1" ht="14.25">
      <c r="A21" s="281" t="s">
        <v>20</v>
      </c>
      <c r="B21" s="844"/>
      <c r="C21" s="184"/>
      <c r="D21" s="184"/>
      <c r="E21" s="1045"/>
      <c r="F21" s="169"/>
      <c r="G21" s="170"/>
      <c r="H21" s="170"/>
      <c r="I21" s="171"/>
      <c r="J21" s="207">
        <v>23376</v>
      </c>
      <c r="K21" s="170">
        <v>8107</v>
      </c>
      <c r="L21" s="170">
        <v>42318</v>
      </c>
      <c r="M21" s="186">
        <v>14120</v>
      </c>
      <c r="N21" s="169"/>
      <c r="O21" s="170"/>
      <c r="P21" s="170"/>
      <c r="Q21" s="186"/>
      <c r="R21" s="169"/>
      <c r="S21" s="170"/>
      <c r="T21" s="170"/>
      <c r="U21" s="186"/>
      <c r="V21" s="169"/>
      <c r="W21" s="170"/>
      <c r="X21" s="170"/>
      <c r="Y21" s="171"/>
      <c r="Z21" s="169"/>
      <c r="AA21" s="170"/>
      <c r="AB21" s="170"/>
      <c r="AC21" s="171"/>
      <c r="AD21" s="207"/>
      <c r="AE21" s="170"/>
      <c r="AF21" s="170"/>
      <c r="AG21" s="186"/>
      <c r="AH21" s="169">
        <v>267</v>
      </c>
      <c r="AI21" s="170">
        <v>110</v>
      </c>
      <c r="AJ21" s="170">
        <v>2288</v>
      </c>
      <c r="AK21" s="171">
        <v>347</v>
      </c>
      <c r="AL21" s="207"/>
      <c r="AM21" s="170"/>
      <c r="AN21" s="170"/>
      <c r="AO21" s="171"/>
      <c r="AP21" s="207">
        <v>1047</v>
      </c>
      <c r="AQ21" s="170">
        <v>1450</v>
      </c>
      <c r="AR21" s="170">
        <v>3165</v>
      </c>
      <c r="AS21" s="171">
        <v>4056</v>
      </c>
      <c r="AT21" s="207">
        <v>4392</v>
      </c>
      <c r="AU21" s="170">
        <v>704</v>
      </c>
      <c r="AV21" s="170">
        <v>8773</v>
      </c>
      <c r="AW21" s="171">
        <v>2734</v>
      </c>
      <c r="AX21" s="1047"/>
      <c r="AY21" s="190"/>
      <c r="AZ21" s="190"/>
      <c r="BA21" s="1048"/>
      <c r="BB21" s="169"/>
      <c r="BC21" s="170"/>
      <c r="BD21" s="170"/>
      <c r="BE21" s="171"/>
      <c r="BF21" s="207"/>
      <c r="BG21" s="170"/>
      <c r="BH21" s="170"/>
      <c r="BI21" s="186"/>
      <c r="BJ21" s="169"/>
      <c r="BK21" s="170"/>
      <c r="BL21" s="170"/>
      <c r="BM21" s="186"/>
      <c r="BN21" s="169"/>
      <c r="BO21" s="170"/>
      <c r="BP21" s="170"/>
      <c r="BQ21" s="186"/>
      <c r="BR21" s="169"/>
      <c r="BS21" s="170"/>
      <c r="BT21" s="170"/>
      <c r="BU21" s="186"/>
      <c r="BV21" s="1049"/>
      <c r="BW21" s="170"/>
      <c r="BX21" s="170"/>
      <c r="BY21" s="186"/>
      <c r="BZ21" s="374">
        <v>275</v>
      </c>
      <c r="CA21" s="367">
        <v>546</v>
      </c>
      <c r="CB21" s="367">
        <v>814</v>
      </c>
      <c r="CC21" s="281">
        <v>1409</v>
      </c>
      <c r="CD21" s="1050"/>
      <c r="CE21" s="193"/>
      <c r="CF21" s="193"/>
      <c r="CG21" s="210"/>
      <c r="CH21" s="194"/>
      <c r="CI21" s="195"/>
      <c r="CJ21" s="195"/>
      <c r="CK21" s="211"/>
      <c r="CL21" s="169"/>
      <c r="CM21" s="170"/>
      <c r="CN21" s="170"/>
      <c r="CO21" s="186"/>
      <c r="CP21" s="197">
        <f t="shared" si="0"/>
        <v>29357</v>
      </c>
      <c r="CQ21" s="212">
        <f t="shared" si="1"/>
        <v>10917</v>
      </c>
      <c r="CR21" s="212">
        <f t="shared" si="1"/>
        <v>57358</v>
      </c>
      <c r="CS21" s="213">
        <f t="shared" si="1"/>
        <v>22666</v>
      </c>
      <c r="CT21" s="194">
        <v>1719</v>
      </c>
      <c r="CU21" s="195">
        <v>989</v>
      </c>
      <c r="CV21" s="195">
        <v>5110</v>
      </c>
      <c r="CW21" s="211">
        <v>2521</v>
      </c>
      <c r="CX21" s="197">
        <f t="shared" si="2"/>
        <v>31076</v>
      </c>
      <c r="CY21" s="197">
        <f t="shared" si="3"/>
        <v>11906</v>
      </c>
      <c r="CZ21" s="197">
        <f t="shared" si="3"/>
        <v>62468</v>
      </c>
      <c r="DA21" s="198">
        <f t="shared" si="3"/>
        <v>25187</v>
      </c>
    </row>
    <row r="22" spans="1:105" s="262" customFormat="1" ht="14.25">
      <c r="A22" s="281" t="s">
        <v>76</v>
      </c>
      <c r="B22" s="844"/>
      <c r="C22" s="184"/>
      <c r="D22" s="184"/>
      <c r="E22" s="1045"/>
      <c r="F22" s="169">
        <v>806</v>
      </c>
      <c r="G22" s="170">
        <v>71</v>
      </c>
      <c r="H22" s="170">
        <v>1098</v>
      </c>
      <c r="I22" s="171">
        <v>225</v>
      </c>
      <c r="J22" s="207"/>
      <c r="K22" s="170"/>
      <c r="L22" s="170"/>
      <c r="M22" s="186"/>
      <c r="N22" s="169"/>
      <c r="O22" s="170"/>
      <c r="P22" s="170"/>
      <c r="Q22" s="186"/>
      <c r="R22" s="169"/>
      <c r="S22" s="170"/>
      <c r="T22" s="170"/>
      <c r="U22" s="186"/>
      <c r="V22" s="169">
        <v>25</v>
      </c>
      <c r="W22" s="170"/>
      <c r="X22" s="170">
        <v>44</v>
      </c>
      <c r="Y22" s="171"/>
      <c r="Z22" s="169"/>
      <c r="AA22" s="170"/>
      <c r="AB22" s="170"/>
      <c r="AC22" s="171"/>
      <c r="AD22" s="207"/>
      <c r="AE22" s="170"/>
      <c r="AF22" s="170"/>
      <c r="AG22" s="186"/>
      <c r="AH22" s="169"/>
      <c r="AI22" s="170"/>
      <c r="AJ22" s="170"/>
      <c r="AK22" s="171"/>
      <c r="AL22" s="207"/>
      <c r="AM22" s="170"/>
      <c r="AN22" s="170"/>
      <c r="AO22" s="171"/>
      <c r="AP22" s="207">
        <v>4262</v>
      </c>
      <c r="AQ22" s="170"/>
      <c r="AR22" s="170">
        <v>7999</v>
      </c>
      <c r="AS22" s="171"/>
      <c r="AT22" s="207">
        <v>40056</v>
      </c>
      <c r="AU22" s="170">
        <v>7650</v>
      </c>
      <c r="AV22" s="170">
        <v>85657</v>
      </c>
      <c r="AW22" s="171">
        <v>8958</v>
      </c>
      <c r="AX22" s="1047"/>
      <c r="AY22" s="190"/>
      <c r="AZ22" s="190"/>
      <c r="BA22" s="1048"/>
      <c r="BB22" s="169"/>
      <c r="BC22" s="170"/>
      <c r="BD22" s="170"/>
      <c r="BE22" s="171"/>
      <c r="BF22" s="207"/>
      <c r="BG22" s="170"/>
      <c r="BH22" s="170"/>
      <c r="BI22" s="186"/>
      <c r="BJ22" s="169"/>
      <c r="BK22" s="170"/>
      <c r="BL22" s="170"/>
      <c r="BM22" s="186"/>
      <c r="BN22" s="169"/>
      <c r="BO22" s="170"/>
      <c r="BP22" s="170"/>
      <c r="BQ22" s="186"/>
      <c r="BR22" s="169"/>
      <c r="BS22" s="170"/>
      <c r="BT22" s="170"/>
      <c r="BU22" s="186"/>
      <c r="BV22" s="1049"/>
      <c r="BW22" s="170"/>
      <c r="BX22" s="170"/>
      <c r="BY22" s="186"/>
      <c r="BZ22" s="374">
        <v>753</v>
      </c>
      <c r="CA22" s="367"/>
      <c r="CB22" s="367">
        <v>1837</v>
      </c>
      <c r="CC22" s="281"/>
      <c r="CD22" s="1050"/>
      <c r="CE22" s="193"/>
      <c r="CF22" s="193"/>
      <c r="CG22" s="210"/>
      <c r="CH22" s="194"/>
      <c r="CI22" s="195"/>
      <c r="CJ22" s="195"/>
      <c r="CK22" s="211"/>
      <c r="CL22" s="169"/>
      <c r="CM22" s="170"/>
      <c r="CN22" s="170"/>
      <c r="CO22" s="186"/>
      <c r="CP22" s="197">
        <f t="shared" si="0"/>
        <v>45902</v>
      </c>
      <c r="CQ22" s="212">
        <f aca="true" t="shared" si="11" ref="CQ22:CS25">SUM(C22+G22+K22+O22+S22+W22+AA22+AE22+AI22+AM22+AQ22+AU22+AY22+BC22+BG22+BK22+BO22+BS22+BW22+CA22+CE22+CI22+CM22)</f>
        <v>7721</v>
      </c>
      <c r="CR22" s="212">
        <f t="shared" si="11"/>
        <v>96635</v>
      </c>
      <c r="CS22" s="213">
        <f t="shared" si="11"/>
        <v>9183</v>
      </c>
      <c r="CT22" s="194"/>
      <c r="CU22" s="195"/>
      <c r="CV22" s="195"/>
      <c r="CW22" s="211"/>
      <c r="CX22" s="197">
        <f t="shared" si="2"/>
        <v>45902</v>
      </c>
      <c r="CY22" s="197">
        <f aca="true" t="shared" si="12" ref="CY22:DA25">CQ22+CU22</f>
        <v>7721</v>
      </c>
      <c r="CZ22" s="197">
        <f t="shared" si="12"/>
        <v>96635</v>
      </c>
      <c r="DA22" s="198">
        <f t="shared" si="12"/>
        <v>9183</v>
      </c>
    </row>
    <row r="23" spans="1:105" s="262" customFormat="1" ht="14.25">
      <c r="A23" s="281" t="s">
        <v>77</v>
      </c>
      <c r="B23" s="1063"/>
      <c r="C23" s="1064"/>
      <c r="D23" s="1064"/>
      <c r="E23" s="1065"/>
      <c r="F23" s="236"/>
      <c r="G23" s="232"/>
      <c r="H23" s="232"/>
      <c r="I23" s="230">
        <v>4</v>
      </c>
      <c r="J23" s="231">
        <v>-123</v>
      </c>
      <c r="K23" s="232">
        <v>-6</v>
      </c>
      <c r="L23" s="232">
        <v>-398</v>
      </c>
      <c r="M23" s="237">
        <v>-7</v>
      </c>
      <c r="N23" s="236"/>
      <c r="O23" s="232"/>
      <c r="P23" s="232"/>
      <c r="Q23" s="237"/>
      <c r="R23" s="236"/>
      <c r="S23" s="232"/>
      <c r="T23" s="232"/>
      <c r="U23" s="237"/>
      <c r="V23" s="236"/>
      <c r="W23" s="232"/>
      <c r="X23" s="232"/>
      <c r="Y23" s="230"/>
      <c r="Z23" s="236">
        <v>-160</v>
      </c>
      <c r="AA23" s="232">
        <v>865</v>
      </c>
      <c r="AB23" s="232">
        <v>2113</v>
      </c>
      <c r="AC23" s="230">
        <v>2169</v>
      </c>
      <c r="AD23" s="231"/>
      <c r="AE23" s="232"/>
      <c r="AF23" s="232"/>
      <c r="AG23" s="237"/>
      <c r="AH23" s="236">
        <v>2771</v>
      </c>
      <c r="AI23" s="232">
        <v>3550</v>
      </c>
      <c r="AJ23" s="232">
        <v>7606</v>
      </c>
      <c r="AK23" s="230">
        <v>9525</v>
      </c>
      <c r="AL23" s="231"/>
      <c r="AM23" s="232"/>
      <c r="AN23" s="232"/>
      <c r="AO23" s="230">
        <v>13</v>
      </c>
      <c r="AP23" s="231"/>
      <c r="AQ23" s="232"/>
      <c r="AR23" s="232"/>
      <c r="AS23" s="230"/>
      <c r="AT23" s="231"/>
      <c r="AU23" s="232"/>
      <c r="AV23" s="232"/>
      <c r="AW23" s="230"/>
      <c r="AX23" s="1066"/>
      <c r="AY23" s="1067"/>
      <c r="AZ23" s="1067"/>
      <c r="BA23" s="1068"/>
      <c r="BB23" s="236"/>
      <c r="BC23" s="232"/>
      <c r="BD23" s="232"/>
      <c r="BE23" s="230"/>
      <c r="BF23" s="231">
        <v>125</v>
      </c>
      <c r="BG23" s="232">
        <v>25</v>
      </c>
      <c r="BH23" s="232">
        <v>493</v>
      </c>
      <c r="BI23" s="237">
        <v>25</v>
      </c>
      <c r="BJ23" s="236"/>
      <c r="BK23" s="232"/>
      <c r="BL23" s="232"/>
      <c r="BM23" s="237"/>
      <c r="BN23" s="236"/>
      <c r="BO23" s="232">
        <v>1</v>
      </c>
      <c r="BP23" s="232">
        <v>-469</v>
      </c>
      <c r="BQ23" s="237">
        <v>-107</v>
      </c>
      <c r="BR23" s="236"/>
      <c r="BS23" s="232"/>
      <c r="BT23" s="232"/>
      <c r="BU23" s="237"/>
      <c r="BV23" s="1069"/>
      <c r="BW23" s="232"/>
      <c r="BX23" s="232"/>
      <c r="BY23" s="237"/>
      <c r="BZ23" s="1070"/>
      <c r="CA23" s="1071"/>
      <c r="CB23" s="1071"/>
      <c r="CC23" s="1072"/>
      <c r="CD23" s="1073"/>
      <c r="CE23" s="242"/>
      <c r="CF23" s="242"/>
      <c r="CG23" s="243"/>
      <c r="CH23" s="244"/>
      <c r="CI23" s="245"/>
      <c r="CJ23" s="245"/>
      <c r="CK23" s="246"/>
      <c r="CL23" s="236"/>
      <c r="CM23" s="232"/>
      <c r="CN23" s="232"/>
      <c r="CO23" s="237"/>
      <c r="CP23" s="197">
        <f t="shared" si="0"/>
        <v>2613</v>
      </c>
      <c r="CQ23" s="212">
        <f t="shared" si="11"/>
        <v>4435</v>
      </c>
      <c r="CR23" s="212">
        <f t="shared" si="11"/>
        <v>9345</v>
      </c>
      <c r="CS23" s="213">
        <f t="shared" si="11"/>
        <v>11622</v>
      </c>
      <c r="CT23" s="244"/>
      <c r="CU23" s="245"/>
      <c r="CV23" s="245"/>
      <c r="CW23" s="246"/>
      <c r="CX23" s="197">
        <f t="shared" si="2"/>
        <v>2613</v>
      </c>
      <c r="CY23" s="197">
        <f t="shared" si="12"/>
        <v>4435</v>
      </c>
      <c r="CZ23" s="197">
        <f t="shared" si="12"/>
        <v>9345</v>
      </c>
      <c r="DA23" s="198">
        <f t="shared" si="12"/>
        <v>11622</v>
      </c>
    </row>
    <row r="24" spans="1:105" s="262" customFormat="1" ht="15" thickBot="1">
      <c r="A24" s="1072" t="s">
        <v>78</v>
      </c>
      <c r="B24" s="1063"/>
      <c r="C24" s="1064"/>
      <c r="D24" s="1064"/>
      <c r="E24" s="1074"/>
      <c r="F24" s="236"/>
      <c r="G24" s="231"/>
      <c r="H24" s="231"/>
      <c r="I24" s="1075"/>
      <c r="J24" s="231"/>
      <c r="K24" s="231"/>
      <c r="L24" s="231"/>
      <c r="M24" s="1076"/>
      <c r="N24" s="236"/>
      <c r="O24" s="231">
        <v>7443</v>
      </c>
      <c r="P24" s="231"/>
      <c r="Q24" s="1076">
        <v>14887</v>
      </c>
      <c r="R24" s="236"/>
      <c r="S24" s="232"/>
      <c r="T24" s="232"/>
      <c r="U24" s="237"/>
      <c r="V24" s="236"/>
      <c r="W24" s="232"/>
      <c r="X24" s="232"/>
      <c r="Y24" s="230"/>
      <c r="Z24" s="236"/>
      <c r="AA24" s="232"/>
      <c r="AB24" s="232"/>
      <c r="AC24" s="230"/>
      <c r="AD24" s="231"/>
      <c r="AE24" s="232"/>
      <c r="AF24" s="232"/>
      <c r="AG24" s="237"/>
      <c r="AH24" s="236">
        <v>235</v>
      </c>
      <c r="AI24" s="232"/>
      <c r="AJ24" s="232">
        <v>235</v>
      </c>
      <c r="AK24" s="230"/>
      <c r="AL24" s="231"/>
      <c r="AM24" s="232"/>
      <c r="AN24" s="232"/>
      <c r="AO24" s="230"/>
      <c r="AP24" s="231"/>
      <c r="AQ24" s="232"/>
      <c r="AR24" s="232"/>
      <c r="AS24" s="230"/>
      <c r="AT24" s="231"/>
      <c r="AU24" s="232"/>
      <c r="AV24" s="232"/>
      <c r="AW24" s="230"/>
      <c r="AX24" s="1066"/>
      <c r="AY24" s="1067"/>
      <c r="AZ24" s="1067"/>
      <c r="BA24" s="1068"/>
      <c r="BB24" s="236"/>
      <c r="BC24" s="232"/>
      <c r="BD24" s="232"/>
      <c r="BE24" s="230"/>
      <c r="BF24" s="231"/>
      <c r="BG24" s="232"/>
      <c r="BH24" s="232"/>
      <c r="BI24" s="237"/>
      <c r="BJ24" s="236"/>
      <c r="BK24" s="232"/>
      <c r="BL24" s="232"/>
      <c r="BM24" s="237"/>
      <c r="BN24" s="236"/>
      <c r="BO24" s="232"/>
      <c r="BP24" s="232"/>
      <c r="BQ24" s="237"/>
      <c r="BR24" s="236"/>
      <c r="BS24" s="232"/>
      <c r="BT24" s="232"/>
      <c r="BU24" s="237"/>
      <c r="BV24" s="1069"/>
      <c r="BW24" s="232"/>
      <c r="BX24" s="232"/>
      <c r="BY24" s="237"/>
      <c r="BZ24" s="1070"/>
      <c r="CA24" s="1071"/>
      <c r="CB24" s="1071"/>
      <c r="CC24" s="1072"/>
      <c r="CD24" s="1073"/>
      <c r="CE24" s="242"/>
      <c r="CF24" s="242"/>
      <c r="CG24" s="243"/>
      <c r="CH24" s="244"/>
      <c r="CI24" s="245"/>
      <c r="CJ24" s="245"/>
      <c r="CK24" s="246"/>
      <c r="CL24" s="236"/>
      <c r="CM24" s="232"/>
      <c r="CN24" s="232"/>
      <c r="CO24" s="237"/>
      <c r="CP24" s="247">
        <f t="shared" si="0"/>
        <v>235</v>
      </c>
      <c r="CQ24" s="248">
        <f t="shared" si="11"/>
        <v>7443</v>
      </c>
      <c r="CR24" s="248">
        <f t="shared" si="11"/>
        <v>235</v>
      </c>
      <c r="CS24" s="249">
        <f t="shared" si="11"/>
        <v>14887</v>
      </c>
      <c r="CT24" s="244"/>
      <c r="CU24" s="245"/>
      <c r="CV24" s="245"/>
      <c r="CW24" s="246"/>
      <c r="CX24" s="247">
        <f t="shared" si="2"/>
        <v>235</v>
      </c>
      <c r="CY24" s="247">
        <f t="shared" si="12"/>
        <v>7443</v>
      </c>
      <c r="CZ24" s="247">
        <f t="shared" si="12"/>
        <v>235</v>
      </c>
      <c r="DA24" s="1078">
        <f t="shared" si="12"/>
        <v>14887</v>
      </c>
    </row>
    <row r="25" spans="1:105" s="1077" customFormat="1" ht="15" thickBot="1">
      <c r="A25" s="1092" t="s">
        <v>57</v>
      </c>
      <c r="B25" s="1079">
        <f>SUM(B15:B23)</f>
        <v>1624121</v>
      </c>
      <c r="C25" s="1079">
        <f>SUM(C15:C23)</f>
        <v>1024795</v>
      </c>
      <c r="D25" s="1079">
        <f aca="true" t="shared" si="13" ref="D25:P25">SUM(D15:D23)</f>
        <v>4177498</v>
      </c>
      <c r="E25" s="1080">
        <f t="shared" si="13"/>
        <v>2688174</v>
      </c>
      <c r="F25" s="1079">
        <f t="shared" si="13"/>
        <v>17395</v>
      </c>
      <c r="G25" s="1079">
        <f t="shared" si="13"/>
        <v>21650</v>
      </c>
      <c r="H25" s="1079">
        <f t="shared" si="13"/>
        <v>41420</v>
      </c>
      <c r="I25" s="1081">
        <f t="shared" si="13"/>
        <v>56431</v>
      </c>
      <c r="J25" s="1082">
        <f t="shared" si="13"/>
        <v>29336</v>
      </c>
      <c r="K25" s="1079">
        <f t="shared" si="13"/>
        <v>171742</v>
      </c>
      <c r="L25" s="1079">
        <f t="shared" si="13"/>
        <v>205092</v>
      </c>
      <c r="M25" s="1080">
        <f t="shared" si="13"/>
        <v>365927</v>
      </c>
      <c r="N25" s="1079">
        <f t="shared" si="13"/>
        <v>1113695</v>
      </c>
      <c r="O25" s="1079">
        <f>SUM(O15:O24)</f>
        <v>787330</v>
      </c>
      <c r="P25" s="1079">
        <f t="shared" si="13"/>
        <v>3033295</v>
      </c>
      <c r="Q25" s="1080">
        <f>SUM(Q15:Q24)</f>
        <v>2034704</v>
      </c>
      <c r="R25" s="1079">
        <f aca="true" t="shared" si="14" ref="R25:CA25">SUM(R15:R24)</f>
        <v>590012</v>
      </c>
      <c r="S25" s="1079">
        <f t="shared" si="14"/>
        <v>463397</v>
      </c>
      <c r="T25" s="1079">
        <f t="shared" si="14"/>
        <v>1719981</v>
      </c>
      <c r="U25" s="1080">
        <f t="shared" si="14"/>
        <v>1219387</v>
      </c>
      <c r="V25" s="1079">
        <f t="shared" si="14"/>
        <v>718899</v>
      </c>
      <c r="W25" s="1079">
        <f t="shared" si="14"/>
        <v>416470</v>
      </c>
      <c r="X25" s="1079">
        <f t="shared" si="14"/>
        <v>1850047</v>
      </c>
      <c r="Y25" s="1081">
        <f t="shared" si="14"/>
        <v>1264009</v>
      </c>
      <c r="Z25" s="1079">
        <f t="shared" si="14"/>
        <v>159512</v>
      </c>
      <c r="AA25" s="1079">
        <f t="shared" si="14"/>
        <v>306456</v>
      </c>
      <c r="AB25" s="1079">
        <f t="shared" si="14"/>
        <v>813515</v>
      </c>
      <c r="AC25" s="1081">
        <f t="shared" si="14"/>
        <v>706597</v>
      </c>
      <c r="AD25" s="1082">
        <f t="shared" si="14"/>
        <v>271648</v>
      </c>
      <c r="AE25" s="1079">
        <f t="shared" si="14"/>
        <v>186134</v>
      </c>
      <c r="AF25" s="1079">
        <f t="shared" si="14"/>
        <v>595895</v>
      </c>
      <c r="AG25" s="1080">
        <f t="shared" si="14"/>
        <v>400185</v>
      </c>
      <c r="AH25" s="1079">
        <f t="shared" si="14"/>
        <v>634351</v>
      </c>
      <c r="AI25" s="1079">
        <f t="shared" si="14"/>
        <v>438431</v>
      </c>
      <c r="AJ25" s="1079">
        <f t="shared" si="14"/>
        <v>1852771</v>
      </c>
      <c r="AK25" s="1081">
        <f t="shared" si="14"/>
        <v>1449874</v>
      </c>
      <c r="AL25" s="1082">
        <f t="shared" si="14"/>
        <v>232579</v>
      </c>
      <c r="AM25" s="1079">
        <f t="shared" si="14"/>
        <v>124585</v>
      </c>
      <c r="AN25" s="1079">
        <f t="shared" si="14"/>
        <v>509727</v>
      </c>
      <c r="AO25" s="1079">
        <f t="shared" si="14"/>
        <v>330775</v>
      </c>
      <c r="AP25" s="1079">
        <f t="shared" si="14"/>
        <v>3935418</v>
      </c>
      <c r="AQ25" s="1079">
        <f t="shared" si="14"/>
        <v>4086705</v>
      </c>
      <c r="AR25" s="1079">
        <f t="shared" si="14"/>
        <v>11176795</v>
      </c>
      <c r="AS25" s="1079">
        <f t="shared" si="14"/>
        <v>10749305</v>
      </c>
      <c r="AT25" s="1079">
        <f t="shared" si="14"/>
        <v>5094850</v>
      </c>
      <c r="AU25" s="1079">
        <f t="shared" si="14"/>
        <v>4465892</v>
      </c>
      <c r="AV25" s="1079">
        <f t="shared" si="14"/>
        <v>15512890</v>
      </c>
      <c r="AW25" s="1079">
        <f t="shared" si="14"/>
        <v>14032736</v>
      </c>
      <c r="AX25" s="1079">
        <f t="shared" si="14"/>
        <v>377919</v>
      </c>
      <c r="AY25" s="1079">
        <f t="shared" si="14"/>
        <v>329428</v>
      </c>
      <c r="AZ25" s="1079">
        <f t="shared" si="14"/>
        <v>1072404</v>
      </c>
      <c r="BA25" s="1080">
        <f t="shared" si="14"/>
        <v>999280</v>
      </c>
      <c r="BB25" s="1079">
        <f t="shared" si="14"/>
        <v>437179</v>
      </c>
      <c r="BC25" s="1079">
        <f t="shared" si="14"/>
        <v>358156</v>
      </c>
      <c r="BD25" s="1079">
        <f t="shared" si="14"/>
        <v>1150482</v>
      </c>
      <c r="BE25" s="1081">
        <f t="shared" si="14"/>
        <v>938572</v>
      </c>
      <c r="BF25" s="1082">
        <f t="shared" si="14"/>
        <v>2123137</v>
      </c>
      <c r="BG25" s="1079">
        <f t="shared" si="14"/>
        <v>1649412</v>
      </c>
      <c r="BH25" s="1079">
        <f t="shared" si="14"/>
        <v>4747247</v>
      </c>
      <c r="BI25" s="1080">
        <f t="shared" si="14"/>
        <v>3793406</v>
      </c>
      <c r="BJ25" s="1079">
        <f t="shared" si="14"/>
        <v>3917870</v>
      </c>
      <c r="BK25" s="1079">
        <f t="shared" si="14"/>
        <v>3543373</v>
      </c>
      <c r="BL25" s="1079">
        <f t="shared" si="14"/>
        <v>9888415</v>
      </c>
      <c r="BM25" s="1080">
        <f t="shared" si="14"/>
        <v>8928753</v>
      </c>
      <c r="BN25" s="1079">
        <f t="shared" si="14"/>
        <v>903683</v>
      </c>
      <c r="BO25" s="1079">
        <f t="shared" si="14"/>
        <v>755895</v>
      </c>
      <c r="BP25" s="1079">
        <f t="shared" si="14"/>
        <v>2507706</v>
      </c>
      <c r="BQ25" s="1080">
        <f t="shared" si="14"/>
        <v>2154760</v>
      </c>
      <c r="BR25" s="1079">
        <f t="shared" si="14"/>
        <v>540895</v>
      </c>
      <c r="BS25" s="1079">
        <f t="shared" si="14"/>
        <v>520905</v>
      </c>
      <c r="BT25" s="1079">
        <f t="shared" si="14"/>
        <v>1733563</v>
      </c>
      <c r="BU25" s="1080">
        <f t="shared" si="14"/>
        <v>1580762</v>
      </c>
      <c r="BV25" s="1079">
        <f t="shared" si="14"/>
        <v>0</v>
      </c>
      <c r="BW25" s="1079">
        <f t="shared" si="14"/>
        <v>0</v>
      </c>
      <c r="BX25" s="1079">
        <f t="shared" si="14"/>
        <v>0</v>
      </c>
      <c r="BY25" s="1080">
        <f t="shared" si="14"/>
        <v>0</v>
      </c>
      <c r="BZ25" s="1079">
        <f t="shared" si="14"/>
        <v>4520519</v>
      </c>
      <c r="CA25" s="1079">
        <f t="shared" si="14"/>
        <v>3759408</v>
      </c>
      <c r="CB25" s="1083">
        <f>SUM(CB15:CB24)</f>
        <v>13463469</v>
      </c>
      <c r="CC25" s="1084">
        <f>SUM(CC15:CC24)</f>
        <v>11208707</v>
      </c>
      <c r="CD25" s="1085">
        <f>SUM(CD15:CD24)</f>
        <v>364261</v>
      </c>
      <c r="CE25" s="1083">
        <f aca="true" t="shared" si="15" ref="CE25:CJ25">SUM(CE15:CE24)</f>
        <v>316344</v>
      </c>
      <c r="CF25" s="1083">
        <f t="shared" si="15"/>
        <v>1059322</v>
      </c>
      <c r="CG25" s="1084">
        <f t="shared" si="15"/>
        <v>929857</v>
      </c>
      <c r="CH25" s="1085">
        <f t="shared" si="15"/>
        <v>566455</v>
      </c>
      <c r="CI25" s="1083">
        <f t="shared" si="15"/>
        <v>545614</v>
      </c>
      <c r="CJ25" s="1083">
        <f t="shared" si="15"/>
        <v>1499865</v>
      </c>
      <c r="CK25" s="1084">
        <f>SUM(CK15:CK24)</f>
        <v>1425907</v>
      </c>
      <c r="CL25" s="1085">
        <f>SUM(CL15:CL24)</f>
        <v>2368029</v>
      </c>
      <c r="CM25" s="1083">
        <f>SUM(CM15:CM24)</f>
        <v>1504998</v>
      </c>
      <c r="CN25" s="1083">
        <f>SUM(CN15:CN24)</f>
        <v>5640378</v>
      </c>
      <c r="CO25" s="1084">
        <f>SUM(CO15:CO24)</f>
        <v>3504392</v>
      </c>
      <c r="CP25" s="1085">
        <f t="shared" si="0"/>
        <v>30541763</v>
      </c>
      <c r="CQ25" s="1086">
        <f t="shared" si="11"/>
        <v>25777120</v>
      </c>
      <c r="CR25" s="1086">
        <f t="shared" si="11"/>
        <v>84251777</v>
      </c>
      <c r="CS25" s="1087">
        <f t="shared" si="11"/>
        <v>70762500</v>
      </c>
      <c r="CT25" s="1088">
        <f>SUM(CT15:CT24)</f>
        <v>55211236</v>
      </c>
      <c r="CU25" s="1089">
        <f>SUM(CU15:CU24)</f>
        <v>61985914</v>
      </c>
      <c r="CV25" s="1089">
        <f>SUM(CV15:CV24)</f>
        <v>193453154</v>
      </c>
      <c r="CW25" s="1090">
        <f>SUM(CW15:CW24)</f>
        <v>182715280</v>
      </c>
      <c r="CX25" s="1085">
        <f t="shared" si="2"/>
        <v>85752999</v>
      </c>
      <c r="CY25" s="1085">
        <f t="shared" si="12"/>
        <v>87763034</v>
      </c>
      <c r="CZ25" s="1085">
        <f t="shared" si="12"/>
        <v>277704931</v>
      </c>
      <c r="DA25" s="1091">
        <f t="shared" si="12"/>
        <v>253477780</v>
      </c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A39"/>
  <sheetViews>
    <sheetView zoomScalePageLayoutView="0" workbookViewId="0" topLeftCell="A1">
      <pane xSplit="1" topLeftCell="CS1" activePane="topRight" state="frozen"/>
      <selection pane="topLeft" activeCell="A1" sqref="A1"/>
      <selection pane="topRight" activeCell="D20" sqref="D20"/>
    </sheetView>
  </sheetViews>
  <sheetFormatPr defaultColWidth="9.140625" defaultRowHeight="15"/>
  <cols>
    <col min="1" max="1" width="66.8515625" style="204" customWidth="1"/>
    <col min="2" max="3" width="11.140625" style="204" customWidth="1"/>
    <col min="4" max="4" width="12.140625" style="204" customWidth="1"/>
    <col min="5" max="5" width="13.00390625" style="204" bestFit="1" customWidth="1"/>
    <col min="6" max="7" width="11.421875" style="204" bestFit="1" customWidth="1"/>
    <col min="8" max="8" width="12.00390625" style="204" customWidth="1"/>
    <col min="9" max="9" width="12.421875" style="204" bestFit="1" customWidth="1"/>
    <col min="10" max="10" width="11.421875" style="204" bestFit="1" customWidth="1"/>
    <col min="11" max="11" width="13.28125" style="204" customWidth="1"/>
    <col min="12" max="12" width="13.8515625" style="204" customWidth="1"/>
    <col min="13" max="13" width="13.421875" style="204" customWidth="1"/>
    <col min="14" max="15" width="11.8515625" style="204" bestFit="1" customWidth="1"/>
    <col min="16" max="17" width="13.00390625" style="204" bestFit="1" customWidth="1"/>
    <col min="18" max="19" width="11.421875" style="204" bestFit="1" customWidth="1"/>
    <col min="20" max="21" width="12.421875" style="204" bestFit="1" customWidth="1"/>
    <col min="22" max="23" width="11.421875" style="204" bestFit="1" customWidth="1"/>
    <col min="24" max="25" width="12.421875" style="204" bestFit="1" customWidth="1"/>
    <col min="26" max="27" width="11.421875" style="204" bestFit="1" customWidth="1"/>
    <col min="28" max="29" width="13.00390625" style="204" bestFit="1" customWidth="1"/>
    <col min="30" max="31" width="11.8515625" style="204" bestFit="1" customWidth="1"/>
    <col min="32" max="33" width="13.00390625" style="204" bestFit="1" customWidth="1"/>
    <col min="34" max="35" width="11.8515625" style="204" bestFit="1" customWidth="1"/>
    <col min="36" max="37" width="13.00390625" style="204" bestFit="1" customWidth="1"/>
    <col min="38" max="39" width="11.421875" style="204" bestFit="1" customWidth="1"/>
    <col min="40" max="41" width="12.421875" style="204" bestFit="1" customWidth="1"/>
    <col min="42" max="42" width="11.421875" style="204" bestFit="1" customWidth="1"/>
    <col min="43" max="43" width="11.57421875" style="204" bestFit="1" customWidth="1"/>
    <col min="44" max="45" width="12.421875" style="204" bestFit="1" customWidth="1"/>
    <col min="46" max="47" width="11.7109375" style="204" customWidth="1"/>
    <col min="48" max="49" width="13.00390625" style="204" bestFit="1" customWidth="1"/>
    <col min="50" max="51" width="11.421875" style="204" bestFit="1" customWidth="1"/>
    <col min="52" max="52" width="12.421875" style="204" customWidth="1"/>
    <col min="53" max="53" width="12.140625" style="204" customWidth="1"/>
    <col min="54" max="55" width="11.8515625" style="204" bestFit="1" customWidth="1"/>
    <col min="56" max="57" width="13.00390625" style="204" bestFit="1" customWidth="1"/>
    <col min="58" max="59" width="11.8515625" style="204" bestFit="1" customWidth="1"/>
    <col min="60" max="61" width="13.00390625" style="204" bestFit="1" customWidth="1"/>
    <col min="62" max="63" width="11.421875" style="204" bestFit="1" customWidth="1"/>
    <col min="64" max="65" width="12.421875" style="204" bestFit="1" customWidth="1"/>
    <col min="66" max="66" width="10.7109375" style="204" customWidth="1"/>
    <col min="67" max="67" width="10.8515625" style="204" customWidth="1"/>
    <col min="68" max="68" width="11.421875" style="204" customWidth="1"/>
    <col min="69" max="69" width="11.00390625" style="204" customWidth="1"/>
    <col min="70" max="71" width="11.8515625" style="204" bestFit="1" customWidth="1"/>
    <col min="72" max="73" width="13.00390625" style="204" bestFit="1" customWidth="1"/>
    <col min="74" max="75" width="11.8515625" style="204" bestFit="1" customWidth="1"/>
    <col min="76" max="77" width="13.00390625" style="204" bestFit="1" customWidth="1"/>
    <col min="78" max="79" width="11.8515625" style="204" bestFit="1" customWidth="1"/>
    <col min="80" max="81" width="13.00390625" style="204" bestFit="1" customWidth="1"/>
    <col min="82" max="82" width="10.7109375" style="204" customWidth="1"/>
    <col min="83" max="83" width="11.8515625" style="204" bestFit="1" customWidth="1"/>
    <col min="84" max="85" width="13.00390625" style="204" bestFit="1" customWidth="1"/>
    <col min="86" max="87" width="11.8515625" style="204" bestFit="1" customWidth="1"/>
    <col min="88" max="89" width="13.00390625" style="204" bestFit="1" customWidth="1"/>
    <col min="90" max="91" width="11.421875" style="204" bestFit="1" customWidth="1"/>
    <col min="92" max="93" width="12.421875" style="204" bestFit="1" customWidth="1"/>
    <col min="94" max="95" width="11.57421875" style="204" bestFit="1" customWidth="1"/>
    <col min="96" max="96" width="12.8515625" style="204" bestFit="1" customWidth="1"/>
    <col min="97" max="97" width="13.00390625" style="204" bestFit="1" customWidth="1"/>
    <col min="98" max="98" width="11.8515625" style="204" bestFit="1" customWidth="1"/>
    <col min="99" max="99" width="12.8515625" style="204" bestFit="1" customWidth="1"/>
    <col min="100" max="101" width="13.00390625" style="204" bestFit="1" customWidth="1"/>
    <col min="102" max="103" width="11.57421875" style="204" bestFit="1" customWidth="1"/>
    <col min="104" max="105" width="12.8515625" style="204" bestFit="1" customWidth="1"/>
    <col min="106" max="16384" width="9.140625" style="204" customWidth="1"/>
  </cols>
  <sheetData>
    <row r="1" spans="1:103" ht="18">
      <c r="A1" s="1729" t="s">
        <v>187</v>
      </c>
      <c r="B1" s="1729"/>
      <c r="C1" s="1729"/>
      <c r="D1" s="1729"/>
      <c r="E1" s="1729"/>
      <c r="F1" s="1729"/>
      <c r="G1" s="1729"/>
      <c r="H1" s="1729"/>
      <c r="I1" s="1729"/>
      <c r="J1" s="1729"/>
      <c r="K1" s="1729"/>
      <c r="L1" s="1729"/>
      <c r="M1" s="1729"/>
      <c r="N1" s="1729"/>
      <c r="O1" s="1729"/>
      <c r="P1" s="1729"/>
      <c r="Q1" s="1729"/>
      <c r="R1" s="1729"/>
      <c r="S1" s="1729"/>
      <c r="T1" s="1729"/>
      <c r="U1" s="1729"/>
      <c r="V1" s="1729"/>
      <c r="W1" s="1729"/>
      <c r="X1" s="1729"/>
      <c r="Y1" s="1729"/>
      <c r="Z1" s="1729"/>
      <c r="AA1" s="1729"/>
      <c r="AB1" s="1729"/>
      <c r="AC1" s="1729"/>
      <c r="AD1" s="1729"/>
      <c r="AE1" s="1729"/>
      <c r="AF1" s="1729"/>
      <c r="AG1" s="1729"/>
      <c r="AH1" s="1729"/>
      <c r="AI1" s="1729"/>
      <c r="AJ1" s="1729"/>
      <c r="AK1" s="1729"/>
      <c r="AL1" s="1729"/>
      <c r="AM1" s="1729"/>
      <c r="AN1" s="1729"/>
      <c r="AO1" s="1729"/>
      <c r="AP1" s="1729"/>
      <c r="AQ1" s="1729"/>
      <c r="AR1" s="1729"/>
      <c r="AS1" s="1729"/>
      <c r="AT1" s="1729"/>
      <c r="AU1" s="1729"/>
      <c r="AV1" s="1729"/>
      <c r="AW1" s="1729"/>
      <c r="AX1" s="1729"/>
      <c r="AY1" s="1729"/>
      <c r="AZ1" s="1729"/>
      <c r="BA1" s="1729"/>
      <c r="BB1" s="1729"/>
      <c r="BC1" s="1729"/>
      <c r="BD1" s="1729"/>
      <c r="BE1" s="1729"/>
      <c r="BF1" s="1729"/>
      <c r="BG1" s="1729"/>
      <c r="BH1" s="1729"/>
      <c r="BI1" s="1729"/>
      <c r="BJ1" s="1729"/>
      <c r="BK1" s="1729"/>
      <c r="BL1" s="1729"/>
      <c r="BM1" s="1729"/>
      <c r="BN1" s="1729"/>
      <c r="BO1" s="1729"/>
      <c r="BP1" s="1729"/>
      <c r="BQ1" s="1729"/>
      <c r="BR1" s="1729"/>
      <c r="BS1" s="1729"/>
      <c r="BT1" s="1729"/>
      <c r="BU1" s="1729"/>
      <c r="BV1" s="1729"/>
      <c r="BW1" s="1729"/>
      <c r="BX1" s="1729"/>
      <c r="BY1" s="1729"/>
      <c r="BZ1" s="1729"/>
      <c r="CA1" s="1729"/>
      <c r="CB1" s="1729"/>
      <c r="CC1" s="1729"/>
      <c r="CD1" s="1729"/>
      <c r="CE1" s="1729"/>
      <c r="CF1" s="1729"/>
      <c r="CG1" s="1729"/>
      <c r="CH1" s="1729"/>
      <c r="CI1" s="1729"/>
      <c r="CJ1" s="1729"/>
      <c r="CK1" s="1729"/>
      <c r="CL1" s="1729"/>
      <c r="CM1" s="1729"/>
      <c r="CN1" s="1729"/>
      <c r="CO1" s="1729"/>
      <c r="CP1" s="1729"/>
      <c r="CQ1" s="1729"/>
      <c r="CR1" s="1729"/>
      <c r="CS1" s="1729"/>
      <c r="CT1" s="1729"/>
      <c r="CU1" s="1729"/>
      <c r="CV1" s="1729"/>
      <c r="CW1" s="1729"/>
      <c r="CX1" s="1729"/>
      <c r="CY1" s="1729"/>
    </row>
    <row r="2" spans="1:103" s="1103" customFormat="1" ht="18.75" thickBot="1">
      <c r="A2" s="1721" t="s">
        <v>79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  <c r="Q2" s="1721"/>
      <c r="R2" s="1721"/>
      <c r="S2" s="1721"/>
      <c r="T2" s="1721"/>
      <c r="U2" s="1721"/>
      <c r="V2" s="1721"/>
      <c r="W2" s="1721"/>
      <c r="X2" s="1721"/>
      <c r="Y2" s="1721"/>
      <c r="Z2" s="1721"/>
      <c r="AA2" s="1721"/>
      <c r="AB2" s="1721"/>
      <c r="AC2" s="1721"/>
      <c r="AD2" s="1721"/>
      <c r="AE2" s="1721"/>
      <c r="AF2" s="1721"/>
      <c r="AG2" s="1721"/>
      <c r="AH2" s="1721"/>
      <c r="AI2" s="1721"/>
      <c r="AJ2" s="1721"/>
      <c r="AK2" s="1721"/>
      <c r="AL2" s="1721"/>
      <c r="AM2" s="1721"/>
      <c r="AN2" s="1721"/>
      <c r="AO2" s="1721"/>
      <c r="AP2" s="1721"/>
      <c r="AQ2" s="1721"/>
      <c r="AR2" s="1721"/>
      <c r="AS2" s="1721"/>
      <c r="AT2" s="1721"/>
      <c r="AU2" s="1721"/>
      <c r="AV2" s="1721"/>
      <c r="AW2" s="1721"/>
      <c r="AX2" s="1721"/>
      <c r="AY2" s="1721"/>
      <c r="AZ2" s="1721"/>
      <c r="BA2" s="1721"/>
      <c r="BB2" s="1721"/>
      <c r="BC2" s="1721"/>
      <c r="BD2" s="1721"/>
      <c r="BE2" s="1721"/>
      <c r="BF2" s="1721"/>
      <c r="BG2" s="1721"/>
      <c r="BH2" s="1721"/>
      <c r="BI2" s="1721"/>
      <c r="BJ2" s="1721"/>
      <c r="BK2" s="1721"/>
      <c r="BL2" s="1721"/>
      <c r="BM2" s="1721"/>
      <c r="BN2" s="1721"/>
      <c r="BO2" s="1721"/>
      <c r="BP2" s="1721"/>
      <c r="BQ2" s="1721"/>
      <c r="BR2" s="1721"/>
      <c r="BS2" s="1721"/>
      <c r="BT2" s="1721"/>
      <c r="BU2" s="1721"/>
      <c r="BV2" s="1721"/>
      <c r="BW2" s="1721"/>
      <c r="BX2" s="1721"/>
      <c r="BY2" s="1721"/>
      <c r="BZ2" s="1721"/>
      <c r="CA2" s="1721"/>
      <c r="CB2" s="1721"/>
      <c r="CC2" s="1721"/>
      <c r="CD2" s="1721"/>
      <c r="CE2" s="1721"/>
      <c r="CF2" s="1721"/>
      <c r="CG2" s="1721"/>
      <c r="CH2" s="1721"/>
      <c r="CI2" s="1721"/>
      <c r="CJ2" s="1721"/>
      <c r="CK2" s="1721"/>
      <c r="CL2" s="1721"/>
      <c r="CM2" s="1721"/>
      <c r="CN2" s="1721"/>
      <c r="CO2" s="1721"/>
      <c r="CP2" s="1721"/>
      <c r="CQ2" s="1721"/>
      <c r="CR2" s="1721"/>
      <c r="CS2" s="1721"/>
      <c r="CT2" s="1721"/>
      <c r="CU2" s="1721"/>
      <c r="CV2" s="1721"/>
      <c r="CW2" s="1721"/>
      <c r="CX2" s="1721"/>
      <c r="CY2" s="1721"/>
    </row>
    <row r="3" spans="1:105" s="441" customFormat="1" ht="25.5" customHeight="1">
      <c r="A3" s="1730" t="s">
        <v>0</v>
      </c>
      <c r="B3" s="1732" t="s">
        <v>190</v>
      </c>
      <c r="C3" s="1733"/>
      <c r="D3" s="1733"/>
      <c r="E3" s="1733"/>
      <c r="F3" s="1727" t="s">
        <v>191</v>
      </c>
      <c r="G3" s="1728"/>
      <c r="H3" s="1728"/>
      <c r="I3" s="1734"/>
      <c r="J3" s="1728" t="s">
        <v>192</v>
      </c>
      <c r="K3" s="1728"/>
      <c r="L3" s="1728"/>
      <c r="M3" s="1728"/>
      <c r="N3" s="1727" t="s">
        <v>193</v>
      </c>
      <c r="O3" s="1728"/>
      <c r="P3" s="1728"/>
      <c r="Q3" s="1734"/>
      <c r="R3" s="1727" t="s">
        <v>194</v>
      </c>
      <c r="S3" s="1728"/>
      <c r="T3" s="1728"/>
      <c r="U3" s="1734"/>
      <c r="V3" s="1727" t="s">
        <v>195</v>
      </c>
      <c r="W3" s="1728"/>
      <c r="X3" s="1728"/>
      <c r="Y3" s="1734"/>
      <c r="Z3" s="1727" t="s">
        <v>196</v>
      </c>
      <c r="AA3" s="1728"/>
      <c r="AB3" s="1728"/>
      <c r="AC3" s="1734"/>
      <c r="AD3" s="1728" t="s">
        <v>197</v>
      </c>
      <c r="AE3" s="1728"/>
      <c r="AF3" s="1728"/>
      <c r="AG3" s="1728"/>
      <c r="AH3" s="1727" t="s">
        <v>198</v>
      </c>
      <c r="AI3" s="1728"/>
      <c r="AJ3" s="1728"/>
      <c r="AK3" s="1734"/>
      <c r="AL3" s="1728" t="s">
        <v>199</v>
      </c>
      <c r="AM3" s="1728"/>
      <c r="AN3" s="1728"/>
      <c r="AO3" s="1728"/>
      <c r="AP3" s="1727" t="s">
        <v>200</v>
      </c>
      <c r="AQ3" s="1728"/>
      <c r="AR3" s="1728"/>
      <c r="AS3" s="1728"/>
      <c r="AT3" s="1727" t="s">
        <v>201</v>
      </c>
      <c r="AU3" s="1728"/>
      <c r="AV3" s="1728"/>
      <c r="AW3" s="1728"/>
      <c r="AX3" s="1727" t="s">
        <v>202</v>
      </c>
      <c r="AY3" s="1728"/>
      <c r="AZ3" s="1728"/>
      <c r="BA3" s="1728"/>
      <c r="BB3" s="1727" t="s">
        <v>203</v>
      </c>
      <c r="BC3" s="1728"/>
      <c r="BD3" s="1728"/>
      <c r="BE3" s="1734"/>
      <c r="BF3" s="1728" t="s">
        <v>204</v>
      </c>
      <c r="BG3" s="1728"/>
      <c r="BH3" s="1728"/>
      <c r="BI3" s="1734"/>
      <c r="BJ3" s="1728" t="s">
        <v>205</v>
      </c>
      <c r="BK3" s="1728"/>
      <c r="BL3" s="1728"/>
      <c r="BM3" s="1734"/>
      <c r="BN3" s="1728" t="s">
        <v>206</v>
      </c>
      <c r="BO3" s="1728"/>
      <c r="BP3" s="1728"/>
      <c r="BQ3" s="1734"/>
      <c r="BR3" s="1728" t="s">
        <v>207</v>
      </c>
      <c r="BS3" s="1728"/>
      <c r="BT3" s="1728"/>
      <c r="BU3" s="1734"/>
      <c r="BV3" s="1728" t="s">
        <v>208</v>
      </c>
      <c r="BW3" s="1728"/>
      <c r="BX3" s="1728"/>
      <c r="BY3" s="1734"/>
      <c r="BZ3" s="1728" t="s">
        <v>209</v>
      </c>
      <c r="CA3" s="1728"/>
      <c r="CB3" s="1728"/>
      <c r="CC3" s="1734"/>
      <c r="CD3" s="1728" t="s">
        <v>210</v>
      </c>
      <c r="CE3" s="1728"/>
      <c r="CF3" s="1728"/>
      <c r="CG3" s="1734"/>
      <c r="CH3" s="1735" t="s">
        <v>211</v>
      </c>
      <c r="CI3" s="1736"/>
      <c r="CJ3" s="1736"/>
      <c r="CK3" s="1737"/>
      <c r="CL3" s="1727" t="s">
        <v>212</v>
      </c>
      <c r="CM3" s="1728"/>
      <c r="CN3" s="1728"/>
      <c r="CO3" s="1728"/>
      <c r="CP3" s="1727" t="s">
        <v>1</v>
      </c>
      <c r="CQ3" s="1728"/>
      <c r="CR3" s="1728"/>
      <c r="CS3" s="1728"/>
      <c r="CT3" s="1727" t="s">
        <v>213</v>
      </c>
      <c r="CU3" s="1728"/>
      <c r="CV3" s="1728"/>
      <c r="CW3" s="1728"/>
      <c r="CX3" s="1735" t="s">
        <v>2</v>
      </c>
      <c r="CY3" s="1736"/>
      <c r="CZ3" s="1736"/>
      <c r="DA3" s="1737"/>
    </row>
    <row r="4" spans="1:105" s="1107" customFormat="1" ht="15" customHeight="1" thickBot="1">
      <c r="A4" s="1731"/>
      <c r="B4" s="1105" t="s">
        <v>285</v>
      </c>
      <c r="C4" s="1106" t="s">
        <v>286</v>
      </c>
      <c r="D4" s="1106" t="s">
        <v>287</v>
      </c>
      <c r="E4" s="1106" t="s">
        <v>288</v>
      </c>
      <c r="F4" s="1105" t="s">
        <v>285</v>
      </c>
      <c r="G4" s="1106" t="s">
        <v>286</v>
      </c>
      <c r="H4" s="1106" t="s">
        <v>287</v>
      </c>
      <c r="I4" s="1016" t="s">
        <v>288</v>
      </c>
      <c r="J4" s="1106" t="s">
        <v>285</v>
      </c>
      <c r="K4" s="1106" t="s">
        <v>286</v>
      </c>
      <c r="L4" s="1106" t="s">
        <v>287</v>
      </c>
      <c r="M4" s="1106" t="s">
        <v>288</v>
      </c>
      <c r="N4" s="1105" t="s">
        <v>285</v>
      </c>
      <c r="O4" s="1106" t="s">
        <v>286</v>
      </c>
      <c r="P4" s="1106" t="s">
        <v>287</v>
      </c>
      <c r="Q4" s="1016" t="s">
        <v>288</v>
      </c>
      <c r="R4" s="1105" t="s">
        <v>285</v>
      </c>
      <c r="S4" s="1106" t="s">
        <v>286</v>
      </c>
      <c r="T4" s="1106" t="s">
        <v>287</v>
      </c>
      <c r="U4" s="1016" t="s">
        <v>288</v>
      </c>
      <c r="V4" s="1105" t="s">
        <v>285</v>
      </c>
      <c r="W4" s="1106" t="s">
        <v>286</v>
      </c>
      <c r="X4" s="1106" t="s">
        <v>287</v>
      </c>
      <c r="Y4" s="1016" t="s">
        <v>288</v>
      </c>
      <c r="Z4" s="1105" t="s">
        <v>285</v>
      </c>
      <c r="AA4" s="1106" t="s">
        <v>286</v>
      </c>
      <c r="AB4" s="1106" t="s">
        <v>287</v>
      </c>
      <c r="AC4" s="1016" t="s">
        <v>288</v>
      </c>
      <c r="AD4" s="1106" t="s">
        <v>285</v>
      </c>
      <c r="AE4" s="1106" t="s">
        <v>286</v>
      </c>
      <c r="AF4" s="1106" t="s">
        <v>287</v>
      </c>
      <c r="AG4" s="1106" t="s">
        <v>288</v>
      </c>
      <c r="AH4" s="1105" t="s">
        <v>285</v>
      </c>
      <c r="AI4" s="1106" t="s">
        <v>286</v>
      </c>
      <c r="AJ4" s="1106" t="s">
        <v>287</v>
      </c>
      <c r="AK4" s="1016" t="s">
        <v>288</v>
      </c>
      <c r="AL4" s="1106" t="s">
        <v>285</v>
      </c>
      <c r="AM4" s="1106" t="s">
        <v>286</v>
      </c>
      <c r="AN4" s="1106" t="s">
        <v>287</v>
      </c>
      <c r="AO4" s="1106" t="s">
        <v>288</v>
      </c>
      <c r="AP4" s="1105" t="s">
        <v>285</v>
      </c>
      <c r="AQ4" s="1106" t="s">
        <v>286</v>
      </c>
      <c r="AR4" s="1106" t="s">
        <v>287</v>
      </c>
      <c r="AS4" s="1106" t="s">
        <v>288</v>
      </c>
      <c r="AT4" s="1105" t="s">
        <v>285</v>
      </c>
      <c r="AU4" s="1106" t="s">
        <v>286</v>
      </c>
      <c r="AV4" s="1106" t="s">
        <v>287</v>
      </c>
      <c r="AW4" s="1106" t="s">
        <v>288</v>
      </c>
      <c r="AX4" s="1105" t="s">
        <v>285</v>
      </c>
      <c r="AY4" s="1106" t="s">
        <v>286</v>
      </c>
      <c r="AZ4" s="1106" t="s">
        <v>287</v>
      </c>
      <c r="BA4" s="1106" t="s">
        <v>288</v>
      </c>
      <c r="BB4" s="1105" t="s">
        <v>285</v>
      </c>
      <c r="BC4" s="1106" t="s">
        <v>286</v>
      </c>
      <c r="BD4" s="1106" t="s">
        <v>287</v>
      </c>
      <c r="BE4" s="1016" t="s">
        <v>288</v>
      </c>
      <c r="BF4" s="1106" t="s">
        <v>285</v>
      </c>
      <c r="BG4" s="1106" t="s">
        <v>286</v>
      </c>
      <c r="BH4" s="1106" t="s">
        <v>287</v>
      </c>
      <c r="BI4" s="1016" t="s">
        <v>288</v>
      </c>
      <c r="BJ4" s="1106" t="s">
        <v>285</v>
      </c>
      <c r="BK4" s="1106" t="s">
        <v>286</v>
      </c>
      <c r="BL4" s="1106" t="s">
        <v>287</v>
      </c>
      <c r="BM4" s="1016" t="s">
        <v>288</v>
      </c>
      <c r="BN4" s="1106" t="s">
        <v>285</v>
      </c>
      <c r="BO4" s="1106" t="s">
        <v>286</v>
      </c>
      <c r="BP4" s="1106" t="s">
        <v>287</v>
      </c>
      <c r="BQ4" s="1016" t="s">
        <v>288</v>
      </c>
      <c r="BR4" s="1106" t="s">
        <v>285</v>
      </c>
      <c r="BS4" s="1106" t="s">
        <v>286</v>
      </c>
      <c r="BT4" s="1106" t="s">
        <v>287</v>
      </c>
      <c r="BU4" s="1016" t="s">
        <v>288</v>
      </c>
      <c r="BV4" s="1106" t="s">
        <v>285</v>
      </c>
      <c r="BW4" s="1106" t="s">
        <v>286</v>
      </c>
      <c r="BX4" s="1106" t="s">
        <v>287</v>
      </c>
      <c r="BY4" s="1016" t="s">
        <v>288</v>
      </c>
      <c r="BZ4" s="1106" t="s">
        <v>285</v>
      </c>
      <c r="CA4" s="1106" t="s">
        <v>286</v>
      </c>
      <c r="CB4" s="1106" t="s">
        <v>287</v>
      </c>
      <c r="CC4" s="1016" t="s">
        <v>288</v>
      </c>
      <c r="CD4" s="1106" t="s">
        <v>285</v>
      </c>
      <c r="CE4" s="1106" t="s">
        <v>286</v>
      </c>
      <c r="CF4" s="1106" t="s">
        <v>287</v>
      </c>
      <c r="CG4" s="1016" t="s">
        <v>288</v>
      </c>
      <c r="CH4" s="1514" t="s">
        <v>285</v>
      </c>
      <c r="CI4" s="1515" t="s">
        <v>286</v>
      </c>
      <c r="CJ4" s="1515" t="s">
        <v>287</v>
      </c>
      <c r="CK4" s="1516" t="s">
        <v>288</v>
      </c>
      <c r="CL4" s="1105" t="s">
        <v>285</v>
      </c>
      <c r="CM4" s="1106" t="s">
        <v>286</v>
      </c>
      <c r="CN4" s="1106" t="s">
        <v>287</v>
      </c>
      <c r="CO4" s="1106" t="s">
        <v>288</v>
      </c>
      <c r="CP4" s="1105" t="s">
        <v>285</v>
      </c>
      <c r="CQ4" s="1106" t="s">
        <v>286</v>
      </c>
      <c r="CR4" s="1106" t="s">
        <v>287</v>
      </c>
      <c r="CS4" s="1106" t="s">
        <v>288</v>
      </c>
      <c r="CT4" s="1105" t="s">
        <v>285</v>
      </c>
      <c r="CU4" s="1106" t="s">
        <v>286</v>
      </c>
      <c r="CV4" s="1106" t="s">
        <v>287</v>
      </c>
      <c r="CW4" s="1106" t="s">
        <v>288</v>
      </c>
      <c r="CX4" s="1105" t="s">
        <v>285</v>
      </c>
      <c r="CY4" s="1106" t="s">
        <v>286</v>
      </c>
      <c r="CZ4" s="1106" t="s">
        <v>287</v>
      </c>
      <c r="DA4" s="1016" t="s">
        <v>288</v>
      </c>
    </row>
    <row r="5" spans="1:105" ht="15" customHeight="1">
      <c r="A5" s="1540" t="s">
        <v>80</v>
      </c>
      <c r="B5" s="1507">
        <v>1735188</v>
      </c>
      <c r="C5" s="1508">
        <v>1446722</v>
      </c>
      <c r="D5" s="1508">
        <v>6413516</v>
      </c>
      <c r="E5" s="1509">
        <v>5137457</v>
      </c>
      <c r="F5" s="1510">
        <v>178406</v>
      </c>
      <c r="G5" s="1508">
        <v>226299</v>
      </c>
      <c r="H5" s="1508">
        <v>884606</v>
      </c>
      <c r="I5" s="1509">
        <v>886395</v>
      </c>
      <c r="J5" s="287">
        <v>292064</v>
      </c>
      <c r="K5" s="1508">
        <v>502466</v>
      </c>
      <c r="L5" s="1508">
        <v>1768741</v>
      </c>
      <c r="M5" s="1509">
        <v>2005508</v>
      </c>
      <c r="N5" s="1510">
        <v>2419491</v>
      </c>
      <c r="O5" s="1508">
        <v>1832150</v>
      </c>
      <c r="P5" s="1508">
        <v>9172883</v>
      </c>
      <c r="Q5" s="1509">
        <v>6833883</v>
      </c>
      <c r="R5" s="1510">
        <v>630177</v>
      </c>
      <c r="S5" s="1508">
        <v>711242</v>
      </c>
      <c r="T5" s="1508">
        <v>2608236</v>
      </c>
      <c r="U5" s="1509">
        <v>2386455</v>
      </c>
      <c r="V5" s="1510">
        <v>705458</v>
      </c>
      <c r="W5" s="1508">
        <v>621415</v>
      </c>
      <c r="X5" s="1508">
        <v>2286094</v>
      </c>
      <c r="Y5" s="1509">
        <v>2060642</v>
      </c>
      <c r="Z5" s="1510">
        <v>597589</v>
      </c>
      <c r="AA5" s="1508">
        <v>893278</v>
      </c>
      <c r="AB5" s="1508">
        <v>2902055</v>
      </c>
      <c r="AC5" s="1509">
        <v>3123986</v>
      </c>
      <c r="AD5" s="1510">
        <v>719732</v>
      </c>
      <c r="AE5" s="1508">
        <v>677650</v>
      </c>
      <c r="AF5" s="1508">
        <v>2805378</v>
      </c>
      <c r="AG5" s="1509">
        <v>2143237</v>
      </c>
      <c r="AH5" s="1510">
        <v>733593</v>
      </c>
      <c r="AI5" s="1508">
        <v>709078</v>
      </c>
      <c r="AJ5" s="1508">
        <v>3047097</v>
      </c>
      <c r="AK5" s="1509">
        <v>2907919</v>
      </c>
      <c r="AL5" s="1510">
        <v>1175394</v>
      </c>
      <c r="AM5" s="1508">
        <v>791666</v>
      </c>
      <c r="AN5" s="1508">
        <v>3277406</v>
      </c>
      <c r="AO5" s="1511">
        <v>2444102</v>
      </c>
      <c r="AP5" s="1507">
        <v>3776438</v>
      </c>
      <c r="AQ5" s="1508">
        <v>3985117</v>
      </c>
      <c r="AR5" s="1508">
        <v>14082233</v>
      </c>
      <c r="AS5" s="1511">
        <v>12917701</v>
      </c>
      <c r="AT5" s="1507">
        <v>2307633</v>
      </c>
      <c r="AU5" s="1508">
        <v>2572164</v>
      </c>
      <c r="AV5" s="1508">
        <v>9730930</v>
      </c>
      <c r="AW5" s="1511">
        <v>9653031</v>
      </c>
      <c r="AX5" s="1507">
        <v>362171</v>
      </c>
      <c r="AY5" s="1508">
        <v>559018</v>
      </c>
      <c r="AZ5" s="1508">
        <v>1279056</v>
      </c>
      <c r="BA5" s="1511">
        <v>1487177</v>
      </c>
      <c r="BB5" s="1507">
        <v>586491</v>
      </c>
      <c r="BC5" s="1508">
        <v>403769</v>
      </c>
      <c r="BD5" s="1508">
        <v>1787951</v>
      </c>
      <c r="BE5" s="1509">
        <v>1443599</v>
      </c>
      <c r="BF5" s="1510">
        <v>2445998</v>
      </c>
      <c r="BG5" s="1508">
        <v>2080590</v>
      </c>
      <c r="BH5" s="1508">
        <v>7780902</v>
      </c>
      <c r="BI5" s="1509">
        <v>6432743</v>
      </c>
      <c r="BJ5" s="1510">
        <v>2451196</v>
      </c>
      <c r="BK5" s="1508">
        <v>1947482</v>
      </c>
      <c r="BL5" s="1508">
        <v>8434636</v>
      </c>
      <c r="BM5" s="1509">
        <v>7543219</v>
      </c>
      <c r="BN5" s="1510">
        <v>1608440</v>
      </c>
      <c r="BO5" s="1508">
        <v>1458932</v>
      </c>
      <c r="BP5" s="1508">
        <v>5798616</v>
      </c>
      <c r="BQ5" s="1509">
        <v>5410699</v>
      </c>
      <c r="BR5" s="1510">
        <v>1425902</v>
      </c>
      <c r="BS5" s="1508">
        <v>1764841</v>
      </c>
      <c r="BT5" s="1508">
        <v>6076972</v>
      </c>
      <c r="BU5" s="1509">
        <v>5702421</v>
      </c>
      <c r="BV5" s="1510"/>
      <c r="BW5" s="1508"/>
      <c r="BX5" s="1508"/>
      <c r="BY5" s="1509"/>
      <c r="BZ5" s="1517">
        <v>3468454</v>
      </c>
      <c r="CA5" s="1518">
        <v>2445956</v>
      </c>
      <c r="CB5" s="1518">
        <v>12371811</v>
      </c>
      <c r="CC5" s="1519">
        <v>9581957</v>
      </c>
      <c r="CD5" s="1510">
        <v>857837</v>
      </c>
      <c r="CE5" s="1508">
        <v>669089</v>
      </c>
      <c r="CF5" s="1508">
        <v>2649117</v>
      </c>
      <c r="CG5" s="1509">
        <v>1989410</v>
      </c>
      <c r="CH5" s="1507">
        <v>407041</v>
      </c>
      <c r="CI5" s="1508">
        <v>377041</v>
      </c>
      <c r="CJ5" s="1508">
        <v>1872300</v>
      </c>
      <c r="CK5" s="1509">
        <v>1818399</v>
      </c>
      <c r="CL5" s="1507">
        <v>1568011</v>
      </c>
      <c r="CM5" s="1508">
        <v>1149819</v>
      </c>
      <c r="CN5" s="1508">
        <v>5637683</v>
      </c>
      <c r="CO5" s="1509">
        <v>3947410</v>
      </c>
      <c r="CP5" s="1507">
        <f>SUM(B5+F5+J5+N5+R5+V5+Z5+AD5+AH5+AL5+AP5+AT5+AX5+BB5+BF5+BJ5+BN5+BR5+BV5+BZ5+CD5+CH5+CL5)</f>
        <v>30452704</v>
      </c>
      <c r="CQ5" s="1507">
        <f aca="true" t="shared" si="0" ref="CQ5:CS20">SUM(C5+G5+K5+O5+S5+W5+AA5+AE5+AI5+AM5+AQ5+AU5+AY5+BC5+BG5+BK5+BO5+BS5+BW5+CA5+CE5+CI5+CM5)</f>
        <v>27825784</v>
      </c>
      <c r="CR5" s="1507">
        <f t="shared" si="0"/>
        <v>112668219</v>
      </c>
      <c r="CS5" s="1512">
        <f t="shared" si="0"/>
        <v>97857350</v>
      </c>
      <c r="CT5" s="1507">
        <v>51375597</v>
      </c>
      <c r="CU5" s="1508">
        <v>69779723</v>
      </c>
      <c r="CV5" s="1508">
        <v>198718844</v>
      </c>
      <c r="CW5" s="1511">
        <v>210819765</v>
      </c>
      <c r="CX5" s="1507">
        <f>CP5+CT5</f>
        <v>81828301</v>
      </c>
      <c r="CY5" s="1507">
        <f aca="true" t="shared" si="1" ref="CY5:DA20">CQ5+CU5</f>
        <v>97605507</v>
      </c>
      <c r="CZ5" s="1507">
        <f t="shared" si="1"/>
        <v>311387063</v>
      </c>
      <c r="DA5" s="1513">
        <f t="shared" si="1"/>
        <v>308677115</v>
      </c>
    </row>
    <row r="6" spans="1:105" ht="16.5">
      <c r="A6" s="283" t="s">
        <v>81</v>
      </c>
      <c r="B6" s="284">
        <v>86734</v>
      </c>
      <c r="C6" s="285">
        <v>50220</v>
      </c>
      <c r="D6" s="285">
        <v>251442</v>
      </c>
      <c r="E6" s="286">
        <v>229471</v>
      </c>
      <c r="F6" s="287">
        <v>12031</v>
      </c>
      <c r="G6" s="288">
        <v>11655</v>
      </c>
      <c r="H6" s="288">
        <v>46779</v>
      </c>
      <c r="I6" s="289">
        <v>44943</v>
      </c>
      <c r="J6" s="287">
        <v>15971</v>
      </c>
      <c r="K6" s="288">
        <v>14889</v>
      </c>
      <c r="L6" s="288">
        <v>48519</v>
      </c>
      <c r="M6" s="289">
        <v>57671</v>
      </c>
      <c r="N6" s="287">
        <v>83645</v>
      </c>
      <c r="O6" s="288">
        <v>78387</v>
      </c>
      <c r="P6" s="288">
        <v>308765</v>
      </c>
      <c r="Q6" s="289">
        <v>258778</v>
      </c>
      <c r="R6" s="287">
        <v>27035</v>
      </c>
      <c r="S6" s="288">
        <v>21007</v>
      </c>
      <c r="T6" s="288">
        <v>89401</v>
      </c>
      <c r="U6" s="289">
        <v>68441</v>
      </c>
      <c r="V6" s="287">
        <v>40778</v>
      </c>
      <c r="W6" s="288">
        <v>25771</v>
      </c>
      <c r="X6" s="288">
        <v>128539</v>
      </c>
      <c r="Y6" s="289">
        <v>90931</v>
      </c>
      <c r="Z6" s="287">
        <v>18628</v>
      </c>
      <c r="AA6" s="288">
        <v>25665</v>
      </c>
      <c r="AB6" s="288">
        <v>82857</v>
      </c>
      <c r="AC6" s="289">
        <v>94458</v>
      </c>
      <c r="AD6" s="287">
        <v>63755</v>
      </c>
      <c r="AE6" s="288">
        <v>72077</v>
      </c>
      <c r="AF6" s="288">
        <v>197530</v>
      </c>
      <c r="AG6" s="289">
        <v>185304</v>
      </c>
      <c r="AH6" s="287">
        <v>50261</v>
      </c>
      <c r="AI6" s="288">
        <v>46730</v>
      </c>
      <c r="AJ6" s="288">
        <v>153625</v>
      </c>
      <c r="AK6" s="289">
        <v>139969</v>
      </c>
      <c r="AL6" s="287">
        <v>19935</v>
      </c>
      <c r="AM6" s="288">
        <v>22769</v>
      </c>
      <c r="AN6" s="288">
        <v>71728</v>
      </c>
      <c r="AO6" s="751">
        <v>62759</v>
      </c>
      <c r="AP6" s="298">
        <v>90109</v>
      </c>
      <c r="AQ6" s="288">
        <v>73628</v>
      </c>
      <c r="AR6" s="288">
        <v>300900</v>
      </c>
      <c r="AS6" s="751">
        <v>243857</v>
      </c>
      <c r="AT6" s="298">
        <v>193799</v>
      </c>
      <c r="AU6" s="288">
        <v>193950</v>
      </c>
      <c r="AV6" s="288">
        <v>720922</v>
      </c>
      <c r="AW6" s="751">
        <v>626038</v>
      </c>
      <c r="AX6" s="755">
        <v>15893</v>
      </c>
      <c r="AY6" s="290">
        <v>22889</v>
      </c>
      <c r="AZ6" s="290">
        <v>54932</v>
      </c>
      <c r="BA6" s="750">
        <v>65775</v>
      </c>
      <c r="BB6" s="298">
        <v>44289</v>
      </c>
      <c r="BC6" s="288">
        <v>34043</v>
      </c>
      <c r="BD6" s="288">
        <v>124674</v>
      </c>
      <c r="BE6" s="289">
        <v>113693</v>
      </c>
      <c r="BF6" s="287">
        <v>69490</v>
      </c>
      <c r="BG6" s="288">
        <v>81615</v>
      </c>
      <c r="BH6" s="288">
        <v>222824</v>
      </c>
      <c r="BI6" s="289">
        <v>230317</v>
      </c>
      <c r="BJ6" s="287">
        <v>147390</v>
      </c>
      <c r="BK6" s="288">
        <v>243606</v>
      </c>
      <c r="BL6" s="288">
        <v>587498</v>
      </c>
      <c r="BM6" s="289">
        <v>552834</v>
      </c>
      <c r="BN6" s="287">
        <v>46682</v>
      </c>
      <c r="BO6" s="288">
        <v>24754</v>
      </c>
      <c r="BP6" s="288">
        <v>146421</v>
      </c>
      <c r="BQ6" s="289">
        <v>123882</v>
      </c>
      <c r="BR6" s="287">
        <v>60089</v>
      </c>
      <c r="BS6" s="288">
        <v>61718</v>
      </c>
      <c r="BT6" s="288">
        <v>222879</v>
      </c>
      <c r="BU6" s="289">
        <v>161451</v>
      </c>
      <c r="BV6" s="291"/>
      <c r="BW6" s="288"/>
      <c r="BX6" s="288"/>
      <c r="BY6" s="289"/>
      <c r="BZ6" s="1520">
        <v>161718</v>
      </c>
      <c r="CA6" s="1521">
        <v>145481</v>
      </c>
      <c r="CB6" s="1521">
        <v>620832</v>
      </c>
      <c r="CC6" s="1522">
        <v>592076</v>
      </c>
      <c r="CD6" s="757">
        <v>53722</v>
      </c>
      <c r="CE6" s="293">
        <v>61704</v>
      </c>
      <c r="CF6" s="293">
        <v>181122</v>
      </c>
      <c r="CG6" s="294">
        <v>152557</v>
      </c>
      <c r="CH6" s="295">
        <v>17758</v>
      </c>
      <c r="CI6" s="296">
        <v>16104</v>
      </c>
      <c r="CJ6" s="296">
        <v>61824</v>
      </c>
      <c r="CK6" s="297">
        <v>54429</v>
      </c>
      <c r="CL6" s="298">
        <v>108012</v>
      </c>
      <c r="CM6" s="288">
        <v>67127</v>
      </c>
      <c r="CN6" s="288">
        <v>359557</v>
      </c>
      <c r="CO6" s="289">
        <v>223735</v>
      </c>
      <c r="CP6" s="299">
        <f aca="true" t="shared" si="2" ref="CP6:CS38">SUM(B6+F6+J6+N6+R6+V6+Z6+AD6+AH6+AL6+AP6+AT6+AX6+BB6+BF6+BJ6+BN6+BR6+BV6+BZ6+CD6+CH6+CL6)</f>
        <v>1427724</v>
      </c>
      <c r="CQ6" s="299">
        <f t="shared" si="0"/>
        <v>1395789</v>
      </c>
      <c r="CR6" s="299">
        <f t="shared" si="0"/>
        <v>4983570</v>
      </c>
      <c r="CS6" s="1109">
        <f t="shared" si="0"/>
        <v>4373369</v>
      </c>
      <c r="CT6" s="295">
        <v>715483</v>
      </c>
      <c r="CU6" s="296">
        <v>738552</v>
      </c>
      <c r="CV6" s="296">
        <v>2934411</v>
      </c>
      <c r="CW6" s="1108">
        <v>2916168</v>
      </c>
      <c r="CX6" s="299">
        <f aca="true" t="shared" si="3" ref="CX6:DA38">CP6+CT6</f>
        <v>2143207</v>
      </c>
      <c r="CY6" s="299">
        <f t="shared" si="1"/>
        <v>2134341</v>
      </c>
      <c r="CZ6" s="299">
        <f t="shared" si="1"/>
        <v>7917981</v>
      </c>
      <c r="DA6" s="300">
        <f t="shared" si="1"/>
        <v>7289537</v>
      </c>
    </row>
    <row r="7" spans="1:105" ht="16.5">
      <c r="A7" s="283" t="s">
        <v>82</v>
      </c>
      <c r="B7" s="284">
        <v>33738</v>
      </c>
      <c r="C7" s="285">
        <v>16030</v>
      </c>
      <c r="D7" s="285">
        <v>214626</v>
      </c>
      <c r="E7" s="286">
        <v>69354</v>
      </c>
      <c r="F7" s="287">
        <v>392</v>
      </c>
      <c r="G7" s="288">
        <v>10</v>
      </c>
      <c r="H7" s="288">
        <v>986</v>
      </c>
      <c r="I7" s="289">
        <v>2312</v>
      </c>
      <c r="J7" s="287">
        <v>8481</v>
      </c>
      <c r="K7" s="288">
        <v>-31816</v>
      </c>
      <c r="L7" s="288">
        <v>16105</v>
      </c>
      <c r="M7" s="289">
        <v>27780</v>
      </c>
      <c r="N7" s="287">
        <v>50148</v>
      </c>
      <c r="O7" s="288">
        <v>133454</v>
      </c>
      <c r="P7" s="288">
        <v>358930</v>
      </c>
      <c r="Q7" s="289">
        <v>174616</v>
      </c>
      <c r="R7" s="287">
        <v>2468</v>
      </c>
      <c r="S7" s="288">
        <v>1642</v>
      </c>
      <c r="T7" s="288">
        <v>3270</v>
      </c>
      <c r="U7" s="289">
        <v>1037</v>
      </c>
      <c r="V7" s="287">
        <v>-113937</v>
      </c>
      <c r="W7" s="288">
        <v>71138</v>
      </c>
      <c r="X7" s="288">
        <v>107702</v>
      </c>
      <c r="Y7" s="289">
        <v>262014</v>
      </c>
      <c r="Z7" s="287">
        <v>6453</v>
      </c>
      <c r="AA7" s="288">
        <v>5296</v>
      </c>
      <c r="AB7" s="288">
        <v>21379</v>
      </c>
      <c r="AC7" s="289">
        <v>222542</v>
      </c>
      <c r="AD7" s="287">
        <v>34184</v>
      </c>
      <c r="AE7" s="288">
        <v>11057</v>
      </c>
      <c r="AF7" s="288">
        <v>103642</v>
      </c>
      <c r="AG7" s="289">
        <v>55172</v>
      </c>
      <c r="AH7" s="287"/>
      <c r="AI7" s="288"/>
      <c r="AJ7" s="288"/>
      <c r="AK7" s="289"/>
      <c r="AL7" s="287">
        <v>69709</v>
      </c>
      <c r="AM7" s="288">
        <v>107325</v>
      </c>
      <c r="AN7" s="288">
        <v>218835</v>
      </c>
      <c r="AO7" s="751">
        <v>152751</v>
      </c>
      <c r="AP7" s="298">
        <v>254027</v>
      </c>
      <c r="AQ7" s="288">
        <v>250435</v>
      </c>
      <c r="AR7" s="288">
        <v>873488</v>
      </c>
      <c r="AS7" s="751">
        <v>649108</v>
      </c>
      <c r="AT7" s="298">
        <v>37560</v>
      </c>
      <c r="AU7" s="288">
        <v>92964</v>
      </c>
      <c r="AV7" s="288">
        <v>557564</v>
      </c>
      <c r="AW7" s="751">
        <v>473463</v>
      </c>
      <c r="AX7" s="755">
        <v>3370</v>
      </c>
      <c r="AY7" s="290">
        <v>3027</v>
      </c>
      <c r="AZ7" s="290">
        <v>12471</v>
      </c>
      <c r="BA7" s="750">
        <v>9305</v>
      </c>
      <c r="BB7" s="298">
        <v>19490</v>
      </c>
      <c r="BC7" s="288">
        <v>12277</v>
      </c>
      <c r="BD7" s="288">
        <v>77724</v>
      </c>
      <c r="BE7" s="289">
        <v>52037</v>
      </c>
      <c r="BF7" s="287"/>
      <c r="BG7" s="288"/>
      <c r="BH7" s="288"/>
      <c r="BI7" s="289"/>
      <c r="BJ7" s="287">
        <v>484285</v>
      </c>
      <c r="BK7" s="288">
        <v>361843</v>
      </c>
      <c r="BL7" s="288">
        <v>1657368</v>
      </c>
      <c r="BM7" s="289">
        <v>1116874</v>
      </c>
      <c r="BN7" s="287">
        <v>20805</v>
      </c>
      <c r="BO7" s="288">
        <v>6822</v>
      </c>
      <c r="BP7" s="288">
        <v>52389</v>
      </c>
      <c r="BQ7" s="289">
        <v>39074</v>
      </c>
      <c r="BR7" s="287">
        <v>15541</v>
      </c>
      <c r="BS7" s="288">
        <v>66601</v>
      </c>
      <c r="BT7" s="288">
        <v>112127</v>
      </c>
      <c r="BU7" s="289">
        <v>146886</v>
      </c>
      <c r="BV7" s="291"/>
      <c r="BW7" s="288"/>
      <c r="BX7" s="288"/>
      <c r="BY7" s="289"/>
      <c r="BZ7" s="1520">
        <v>74231</v>
      </c>
      <c r="CA7" s="1521">
        <v>94667</v>
      </c>
      <c r="CB7" s="1521">
        <v>363078</v>
      </c>
      <c r="CC7" s="1522">
        <v>275794</v>
      </c>
      <c r="CD7" s="757">
        <v>74107</v>
      </c>
      <c r="CE7" s="293">
        <v>166460</v>
      </c>
      <c r="CF7" s="293">
        <v>207366</v>
      </c>
      <c r="CG7" s="294">
        <v>492322</v>
      </c>
      <c r="CH7" s="295">
        <v>-14573</v>
      </c>
      <c r="CI7" s="296">
        <v>5165</v>
      </c>
      <c r="CJ7" s="296">
        <v>117934</v>
      </c>
      <c r="CK7" s="297">
        <v>99170</v>
      </c>
      <c r="CL7" s="298">
        <v>153635</v>
      </c>
      <c r="CM7" s="288">
        <v>74101</v>
      </c>
      <c r="CN7" s="288">
        <v>394074</v>
      </c>
      <c r="CO7" s="289">
        <v>145936</v>
      </c>
      <c r="CP7" s="299">
        <f t="shared" si="2"/>
        <v>1214114</v>
      </c>
      <c r="CQ7" s="299">
        <f t="shared" si="0"/>
        <v>1448498</v>
      </c>
      <c r="CR7" s="299">
        <f t="shared" si="0"/>
        <v>5471058</v>
      </c>
      <c r="CS7" s="1109">
        <f t="shared" si="0"/>
        <v>4467547</v>
      </c>
      <c r="CT7" s="295">
        <v>97033</v>
      </c>
      <c r="CU7" s="296">
        <v>107412</v>
      </c>
      <c r="CV7" s="296">
        <v>287116</v>
      </c>
      <c r="CW7" s="1108">
        <v>282823</v>
      </c>
      <c r="CX7" s="299">
        <f t="shared" si="3"/>
        <v>1311147</v>
      </c>
      <c r="CY7" s="299">
        <f t="shared" si="1"/>
        <v>1555910</v>
      </c>
      <c r="CZ7" s="299">
        <f t="shared" si="1"/>
        <v>5758174</v>
      </c>
      <c r="DA7" s="300">
        <f t="shared" si="1"/>
        <v>4750370</v>
      </c>
    </row>
    <row r="8" spans="1:105" ht="16.5">
      <c r="A8" s="283" t="s">
        <v>83</v>
      </c>
      <c r="B8" s="284">
        <v>140047</v>
      </c>
      <c r="C8" s="285">
        <v>129907</v>
      </c>
      <c r="D8" s="285">
        <v>539075</v>
      </c>
      <c r="E8" s="286">
        <v>487364</v>
      </c>
      <c r="F8" s="287">
        <v>21128</v>
      </c>
      <c r="G8" s="288">
        <v>23789</v>
      </c>
      <c r="H8" s="288">
        <v>83787</v>
      </c>
      <c r="I8" s="289">
        <v>120195</v>
      </c>
      <c r="J8" s="287">
        <v>82753</v>
      </c>
      <c r="K8" s="288">
        <v>61618</v>
      </c>
      <c r="L8" s="288">
        <v>345557</v>
      </c>
      <c r="M8" s="289">
        <v>354272</v>
      </c>
      <c r="N8" s="287">
        <f>68029+65867</f>
        <v>133896</v>
      </c>
      <c r="O8" s="288">
        <f>91432+68347</f>
        <v>159779</v>
      </c>
      <c r="P8" s="301">
        <f>213545+251588</f>
        <v>465133</v>
      </c>
      <c r="Q8" s="289">
        <f>4425+90731+260566</f>
        <v>355722</v>
      </c>
      <c r="R8" s="287">
        <v>45466</v>
      </c>
      <c r="S8" s="288">
        <v>63744</v>
      </c>
      <c r="T8" s="288">
        <v>210705</v>
      </c>
      <c r="U8" s="289">
        <v>212253</v>
      </c>
      <c r="V8" s="287">
        <v>71791</v>
      </c>
      <c r="W8" s="288">
        <v>44442</v>
      </c>
      <c r="X8" s="288">
        <v>224546</v>
      </c>
      <c r="Y8" s="289">
        <v>206541</v>
      </c>
      <c r="Z8" s="287">
        <v>46511</v>
      </c>
      <c r="AA8" s="288">
        <v>41516</v>
      </c>
      <c r="AB8" s="288">
        <v>179379</v>
      </c>
      <c r="AC8" s="289">
        <v>151221</v>
      </c>
      <c r="AD8" s="287">
        <v>74530</v>
      </c>
      <c r="AE8" s="288">
        <v>52786</v>
      </c>
      <c r="AF8" s="288">
        <v>236751</v>
      </c>
      <c r="AG8" s="289">
        <v>215141</v>
      </c>
      <c r="AH8" s="287">
        <v>181139</v>
      </c>
      <c r="AI8" s="288">
        <v>148184</v>
      </c>
      <c r="AJ8" s="288">
        <v>564925</v>
      </c>
      <c r="AK8" s="289">
        <v>620454</v>
      </c>
      <c r="AL8" s="287">
        <v>81630</v>
      </c>
      <c r="AM8" s="288">
        <v>73494</v>
      </c>
      <c r="AN8" s="288">
        <v>265011</v>
      </c>
      <c r="AO8" s="751">
        <v>258220</v>
      </c>
      <c r="AP8" s="298">
        <v>195751</v>
      </c>
      <c r="AQ8" s="288">
        <v>224462</v>
      </c>
      <c r="AR8" s="288">
        <v>790054</v>
      </c>
      <c r="AS8" s="751">
        <v>790829</v>
      </c>
      <c r="AT8" s="298">
        <v>437781</v>
      </c>
      <c r="AU8" s="288">
        <v>368063</v>
      </c>
      <c r="AV8" s="288">
        <v>1464388</v>
      </c>
      <c r="AW8" s="751">
        <v>1223975</v>
      </c>
      <c r="AX8" s="755">
        <v>15387</v>
      </c>
      <c r="AY8" s="290">
        <v>16529</v>
      </c>
      <c r="AZ8" s="290">
        <v>64870</v>
      </c>
      <c r="BA8" s="750">
        <v>64524</v>
      </c>
      <c r="BB8" s="298">
        <v>52063</v>
      </c>
      <c r="BC8" s="288">
        <v>23105</v>
      </c>
      <c r="BD8" s="288">
        <v>124048</v>
      </c>
      <c r="BE8" s="289">
        <v>116887</v>
      </c>
      <c r="BF8" s="287">
        <v>152377</v>
      </c>
      <c r="BG8" s="288">
        <v>115584</v>
      </c>
      <c r="BH8" s="288">
        <v>527073</v>
      </c>
      <c r="BI8" s="289">
        <v>474255</v>
      </c>
      <c r="BJ8" s="287">
        <v>205402</v>
      </c>
      <c r="BK8" s="288">
        <v>179847</v>
      </c>
      <c r="BL8" s="288">
        <v>769862</v>
      </c>
      <c r="BM8" s="289">
        <v>688721</v>
      </c>
      <c r="BN8" s="287">
        <v>128570</v>
      </c>
      <c r="BO8" s="288">
        <v>124771</v>
      </c>
      <c r="BP8" s="288">
        <v>432822</v>
      </c>
      <c r="BQ8" s="289">
        <v>427552</v>
      </c>
      <c r="BR8" s="287">
        <f>100589+61190</f>
        <v>161779</v>
      </c>
      <c r="BS8" s="288">
        <f>147663+106639</f>
        <v>254302</v>
      </c>
      <c r="BT8" s="288">
        <f>453263+286264</f>
        <v>739527</v>
      </c>
      <c r="BU8" s="289">
        <f>528390+401668</f>
        <v>930058</v>
      </c>
      <c r="BV8" s="291"/>
      <c r="BW8" s="288"/>
      <c r="BX8" s="288"/>
      <c r="BY8" s="289"/>
      <c r="BZ8" s="1520">
        <v>199553</v>
      </c>
      <c r="CA8" s="1521">
        <v>173924</v>
      </c>
      <c r="CB8" s="1521">
        <v>669794</v>
      </c>
      <c r="CC8" s="1522">
        <v>622453</v>
      </c>
      <c r="CD8" s="757">
        <v>95275</v>
      </c>
      <c r="CE8" s="293">
        <v>66828</v>
      </c>
      <c r="CF8" s="293">
        <v>296317</v>
      </c>
      <c r="CG8" s="294">
        <v>295327</v>
      </c>
      <c r="CH8" s="295">
        <v>36764</v>
      </c>
      <c r="CI8" s="296">
        <v>32827</v>
      </c>
      <c r="CJ8" s="296">
        <v>141895</v>
      </c>
      <c r="CK8" s="297">
        <v>134193</v>
      </c>
      <c r="CL8" s="298">
        <v>77247</v>
      </c>
      <c r="CM8" s="288">
        <v>53186</v>
      </c>
      <c r="CN8" s="288">
        <v>277257</v>
      </c>
      <c r="CO8" s="289">
        <v>229991</v>
      </c>
      <c r="CP8" s="299">
        <f t="shared" si="2"/>
        <v>2636840</v>
      </c>
      <c r="CQ8" s="299">
        <f t="shared" si="0"/>
        <v>2432687</v>
      </c>
      <c r="CR8" s="299">
        <f t="shared" si="0"/>
        <v>9412776</v>
      </c>
      <c r="CS8" s="1109">
        <f t="shared" si="0"/>
        <v>8980148</v>
      </c>
      <c r="CT8" s="295">
        <v>1427811</v>
      </c>
      <c r="CU8" s="296">
        <v>1292684</v>
      </c>
      <c r="CV8" s="296">
        <v>5114279</v>
      </c>
      <c r="CW8" s="1108">
        <v>4720611</v>
      </c>
      <c r="CX8" s="299">
        <f t="shared" si="3"/>
        <v>4064651</v>
      </c>
      <c r="CY8" s="299">
        <f t="shared" si="1"/>
        <v>3725371</v>
      </c>
      <c r="CZ8" s="299">
        <f t="shared" si="1"/>
        <v>14527055</v>
      </c>
      <c r="DA8" s="300">
        <f t="shared" si="1"/>
        <v>13700759</v>
      </c>
    </row>
    <row r="9" spans="1:105" ht="16.5">
      <c r="A9" s="283" t="s">
        <v>84</v>
      </c>
      <c r="B9" s="284">
        <v>68078</v>
      </c>
      <c r="C9" s="285">
        <v>66996</v>
      </c>
      <c r="D9" s="285">
        <v>256707</v>
      </c>
      <c r="E9" s="286">
        <v>272297</v>
      </c>
      <c r="F9" s="287">
        <v>1336</v>
      </c>
      <c r="G9" s="288">
        <v>2555</v>
      </c>
      <c r="H9" s="288">
        <v>5238</v>
      </c>
      <c r="I9" s="289">
        <v>6171</v>
      </c>
      <c r="J9" s="287">
        <v>30715</v>
      </c>
      <c r="K9" s="288">
        <v>32264</v>
      </c>
      <c r="L9" s="288">
        <v>120904</v>
      </c>
      <c r="M9" s="289">
        <v>162430</v>
      </c>
      <c r="N9" s="287">
        <v>26162</v>
      </c>
      <c r="O9" s="288">
        <v>40400</v>
      </c>
      <c r="P9" s="288">
        <v>107240</v>
      </c>
      <c r="Q9" s="289">
        <v>121545</v>
      </c>
      <c r="R9" s="287">
        <v>4034</v>
      </c>
      <c r="S9" s="288">
        <v>7392</v>
      </c>
      <c r="T9" s="288">
        <v>18514</v>
      </c>
      <c r="U9" s="289">
        <v>19789</v>
      </c>
      <c r="V9" s="287">
        <v>-9517</v>
      </c>
      <c r="W9" s="288">
        <v>9356</v>
      </c>
      <c r="X9" s="288">
        <v>27341</v>
      </c>
      <c r="Y9" s="289">
        <v>34956</v>
      </c>
      <c r="Z9" s="287">
        <v>21451</v>
      </c>
      <c r="AA9" s="288">
        <v>16523</v>
      </c>
      <c r="AB9" s="288">
        <v>80478</v>
      </c>
      <c r="AC9" s="289">
        <v>73995</v>
      </c>
      <c r="AD9" s="287">
        <v>30897</v>
      </c>
      <c r="AE9" s="288">
        <v>34569</v>
      </c>
      <c r="AF9" s="288">
        <v>106572</v>
      </c>
      <c r="AG9" s="289">
        <v>88895</v>
      </c>
      <c r="AH9" s="287">
        <v>86132</v>
      </c>
      <c r="AI9" s="288">
        <v>103656</v>
      </c>
      <c r="AJ9" s="288">
        <v>377946</v>
      </c>
      <c r="AK9" s="289">
        <v>384011</v>
      </c>
      <c r="AL9" s="287">
        <v>24598</v>
      </c>
      <c r="AM9" s="288">
        <v>18839</v>
      </c>
      <c r="AN9" s="288">
        <v>103377</v>
      </c>
      <c r="AO9" s="751">
        <v>87676</v>
      </c>
      <c r="AP9" s="298">
        <v>23537</v>
      </c>
      <c r="AQ9" s="288">
        <v>21016</v>
      </c>
      <c r="AR9" s="288">
        <v>76186</v>
      </c>
      <c r="AS9" s="751">
        <v>52278</v>
      </c>
      <c r="AT9" s="298">
        <v>89460</v>
      </c>
      <c r="AU9" s="288">
        <v>86656</v>
      </c>
      <c r="AV9" s="288">
        <v>343392</v>
      </c>
      <c r="AW9" s="751">
        <v>326290</v>
      </c>
      <c r="AX9" s="755">
        <f>7704+386</f>
        <v>8090</v>
      </c>
      <c r="AY9" s="290">
        <f>556+6014</f>
        <v>6570</v>
      </c>
      <c r="AZ9" s="290">
        <f>32297+1371</f>
        <v>33668</v>
      </c>
      <c r="BA9" s="750">
        <f>30678+2372</f>
        <v>33050</v>
      </c>
      <c r="BB9" s="298">
        <v>8292</v>
      </c>
      <c r="BC9" s="288">
        <v>8527</v>
      </c>
      <c r="BD9" s="288">
        <v>30327</v>
      </c>
      <c r="BE9" s="289">
        <v>29871</v>
      </c>
      <c r="BF9" s="287">
        <v>51564</v>
      </c>
      <c r="BG9" s="288">
        <v>44954</v>
      </c>
      <c r="BH9" s="288">
        <v>211256</v>
      </c>
      <c r="BI9" s="289">
        <v>195217</v>
      </c>
      <c r="BJ9" s="287">
        <v>99027</v>
      </c>
      <c r="BK9" s="288">
        <v>74780</v>
      </c>
      <c r="BL9" s="288">
        <v>351329</v>
      </c>
      <c r="BM9" s="289">
        <v>275691</v>
      </c>
      <c r="BN9" s="287">
        <v>12788</v>
      </c>
      <c r="BO9" s="288">
        <v>6946</v>
      </c>
      <c r="BP9" s="288">
        <v>35708</v>
      </c>
      <c r="BQ9" s="289">
        <v>58283</v>
      </c>
      <c r="BR9" s="287">
        <v>3603</v>
      </c>
      <c r="BS9" s="288">
        <v>3007</v>
      </c>
      <c r="BT9" s="288">
        <v>16455</v>
      </c>
      <c r="BU9" s="289">
        <v>7042</v>
      </c>
      <c r="BV9" s="291"/>
      <c r="BW9" s="288"/>
      <c r="BX9" s="288"/>
      <c r="BY9" s="289"/>
      <c r="BZ9" s="1520">
        <v>151896</v>
      </c>
      <c r="CA9" s="1521">
        <v>132424</v>
      </c>
      <c r="CB9" s="1521">
        <v>566224</v>
      </c>
      <c r="CC9" s="1522">
        <v>535470</v>
      </c>
      <c r="CD9" s="757">
        <v>5514</v>
      </c>
      <c r="CE9" s="293">
        <v>651</v>
      </c>
      <c r="CF9" s="293">
        <v>7828</v>
      </c>
      <c r="CG9" s="294">
        <v>3528</v>
      </c>
      <c r="CH9" s="295">
        <v>32373</v>
      </c>
      <c r="CI9" s="296">
        <v>30868</v>
      </c>
      <c r="CJ9" s="296">
        <v>130716</v>
      </c>
      <c r="CK9" s="297">
        <v>111567</v>
      </c>
      <c r="CL9" s="298">
        <v>50407</v>
      </c>
      <c r="CM9" s="288">
        <v>45093</v>
      </c>
      <c r="CN9" s="288">
        <v>207847</v>
      </c>
      <c r="CO9" s="289">
        <v>160509</v>
      </c>
      <c r="CP9" s="299">
        <f t="shared" si="2"/>
        <v>820437</v>
      </c>
      <c r="CQ9" s="299">
        <f t="shared" si="0"/>
        <v>794042</v>
      </c>
      <c r="CR9" s="299">
        <f t="shared" si="0"/>
        <v>3215253</v>
      </c>
      <c r="CS9" s="1109">
        <f t="shared" si="0"/>
        <v>3040561</v>
      </c>
      <c r="CT9" s="295">
        <v>498518</v>
      </c>
      <c r="CU9" s="296">
        <v>304066</v>
      </c>
      <c r="CV9" s="296">
        <v>1148080</v>
      </c>
      <c r="CW9" s="1108">
        <v>942624</v>
      </c>
      <c r="CX9" s="299">
        <f t="shared" si="3"/>
        <v>1318955</v>
      </c>
      <c r="CY9" s="299">
        <f t="shared" si="1"/>
        <v>1098108</v>
      </c>
      <c r="CZ9" s="299">
        <f t="shared" si="1"/>
        <v>4363333</v>
      </c>
      <c r="DA9" s="300">
        <f t="shared" si="1"/>
        <v>3983185</v>
      </c>
    </row>
    <row r="10" spans="1:105" ht="16.5">
      <c r="A10" s="283" t="s">
        <v>85</v>
      </c>
      <c r="B10" s="284">
        <v>19359</v>
      </c>
      <c r="C10" s="285">
        <v>24905</v>
      </c>
      <c r="D10" s="285">
        <v>69527</v>
      </c>
      <c r="E10" s="286">
        <v>61783</v>
      </c>
      <c r="F10" s="287">
        <v>2514</v>
      </c>
      <c r="G10" s="288">
        <v>2707</v>
      </c>
      <c r="H10" s="288">
        <v>8506</v>
      </c>
      <c r="I10" s="289">
        <v>9803</v>
      </c>
      <c r="J10" s="287">
        <v>15876</v>
      </c>
      <c r="K10" s="288">
        <v>11007</v>
      </c>
      <c r="L10" s="288">
        <v>33192</v>
      </c>
      <c r="M10" s="289">
        <v>35459</v>
      </c>
      <c r="N10" s="287">
        <v>832</v>
      </c>
      <c r="O10" s="288">
        <v>120721</v>
      </c>
      <c r="P10" s="301">
        <v>60288</v>
      </c>
      <c r="Q10" s="289">
        <v>189475</v>
      </c>
      <c r="R10" s="287">
        <v>5281</v>
      </c>
      <c r="S10" s="288">
        <v>8634</v>
      </c>
      <c r="T10" s="288">
        <v>32116</v>
      </c>
      <c r="U10" s="289">
        <v>30162</v>
      </c>
      <c r="V10" s="287">
        <v>-1232</v>
      </c>
      <c r="W10" s="288">
        <v>11125</v>
      </c>
      <c r="X10" s="288">
        <v>23080</v>
      </c>
      <c r="Y10" s="289">
        <v>38313</v>
      </c>
      <c r="Z10" s="287">
        <v>1912</v>
      </c>
      <c r="AA10" s="288">
        <v>3272</v>
      </c>
      <c r="AB10" s="288">
        <v>7167</v>
      </c>
      <c r="AC10" s="289">
        <v>12248</v>
      </c>
      <c r="AD10" s="287">
        <v>11249</v>
      </c>
      <c r="AE10" s="288">
        <v>12027</v>
      </c>
      <c r="AF10" s="288">
        <v>25615</v>
      </c>
      <c r="AG10" s="289">
        <v>27061</v>
      </c>
      <c r="AH10" s="287">
        <v>12068</v>
      </c>
      <c r="AI10" s="288">
        <v>5615</v>
      </c>
      <c r="AJ10" s="288">
        <v>41717</v>
      </c>
      <c r="AK10" s="289">
        <v>29259</v>
      </c>
      <c r="AL10" s="287">
        <v>5938</v>
      </c>
      <c r="AM10" s="288">
        <v>4725</v>
      </c>
      <c r="AN10" s="288">
        <v>18286</v>
      </c>
      <c r="AO10" s="751">
        <v>18719</v>
      </c>
      <c r="AP10" s="298">
        <v>54197</v>
      </c>
      <c r="AQ10" s="288">
        <v>32409</v>
      </c>
      <c r="AR10" s="288">
        <v>128955</v>
      </c>
      <c r="AS10" s="751">
        <v>100065</v>
      </c>
      <c r="AT10" s="298">
        <v>10604</v>
      </c>
      <c r="AU10" s="288">
        <v>20828</v>
      </c>
      <c r="AV10" s="288">
        <v>68306</v>
      </c>
      <c r="AW10" s="751">
        <v>64488</v>
      </c>
      <c r="AX10" s="755">
        <v>6679</v>
      </c>
      <c r="AY10" s="290">
        <v>6933</v>
      </c>
      <c r="AZ10" s="290">
        <v>23715</v>
      </c>
      <c r="BA10" s="750">
        <v>29566</v>
      </c>
      <c r="BB10" s="298">
        <v>5012</v>
      </c>
      <c r="BC10" s="288">
        <v>5280</v>
      </c>
      <c r="BD10" s="288">
        <v>16970</v>
      </c>
      <c r="BE10" s="289">
        <v>19139</v>
      </c>
      <c r="BF10" s="857">
        <v>48329</v>
      </c>
      <c r="BG10" s="858">
        <v>79593</v>
      </c>
      <c r="BH10" s="858">
        <v>147616</v>
      </c>
      <c r="BI10" s="1535">
        <v>132702</v>
      </c>
      <c r="BJ10" s="287">
        <v>33636</v>
      </c>
      <c r="BK10" s="288">
        <v>31477</v>
      </c>
      <c r="BL10" s="288">
        <v>87759</v>
      </c>
      <c r="BM10" s="289">
        <v>77021</v>
      </c>
      <c r="BN10" s="287">
        <v>8812</v>
      </c>
      <c r="BO10" s="288">
        <v>11781</v>
      </c>
      <c r="BP10" s="288">
        <v>31481</v>
      </c>
      <c r="BQ10" s="289">
        <v>39885</v>
      </c>
      <c r="BR10" s="287">
        <v>8461</v>
      </c>
      <c r="BS10" s="288">
        <v>16787</v>
      </c>
      <c r="BT10" s="288">
        <v>59178</v>
      </c>
      <c r="BU10" s="289">
        <v>55241</v>
      </c>
      <c r="BV10" s="291"/>
      <c r="BW10" s="288"/>
      <c r="BX10" s="288"/>
      <c r="BY10" s="289"/>
      <c r="BZ10" s="1520">
        <v>30203</v>
      </c>
      <c r="CA10" s="1521">
        <v>32270</v>
      </c>
      <c r="CB10" s="1521">
        <v>120978</v>
      </c>
      <c r="CC10" s="1522">
        <v>116073</v>
      </c>
      <c r="CD10" s="757">
        <v>52450</v>
      </c>
      <c r="CE10" s="293">
        <v>45470</v>
      </c>
      <c r="CF10" s="293">
        <v>141807</v>
      </c>
      <c r="CG10" s="294">
        <v>104070</v>
      </c>
      <c r="CH10" s="295">
        <v>4147</v>
      </c>
      <c r="CI10" s="296">
        <v>5055</v>
      </c>
      <c r="CJ10" s="296">
        <v>13527</v>
      </c>
      <c r="CK10" s="297">
        <v>15781</v>
      </c>
      <c r="CL10" s="298">
        <v>15461</v>
      </c>
      <c r="CM10" s="288">
        <v>11442</v>
      </c>
      <c r="CN10" s="288">
        <v>47403</v>
      </c>
      <c r="CO10" s="289">
        <v>39765</v>
      </c>
      <c r="CP10" s="284">
        <f t="shared" si="2"/>
        <v>351788</v>
      </c>
      <c r="CQ10" s="284">
        <f t="shared" si="0"/>
        <v>504063</v>
      </c>
      <c r="CR10" s="284">
        <f t="shared" si="0"/>
        <v>1207189</v>
      </c>
      <c r="CS10" s="1467">
        <f t="shared" si="0"/>
        <v>1246078</v>
      </c>
      <c r="CT10" s="298">
        <v>-293549</v>
      </c>
      <c r="CU10" s="288">
        <v>-223765</v>
      </c>
      <c r="CV10" s="288">
        <v>1267613</v>
      </c>
      <c r="CW10" s="751">
        <v>1293618</v>
      </c>
      <c r="CX10" s="284">
        <f t="shared" si="3"/>
        <v>58239</v>
      </c>
      <c r="CY10" s="284">
        <f t="shared" si="1"/>
        <v>280298</v>
      </c>
      <c r="CZ10" s="284">
        <f t="shared" si="1"/>
        <v>2474802</v>
      </c>
      <c r="DA10" s="1471">
        <f t="shared" si="1"/>
        <v>2539696</v>
      </c>
    </row>
    <row r="11" spans="1:105" ht="16.5">
      <c r="A11" s="283" t="s">
        <v>86</v>
      </c>
      <c r="B11" s="284">
        <v>34762</v>
      </c>
      <c r="C11" s="285">
        <v>29734</v>
      </c>
      <c r="D11" s="285">
        <v>113585</v>
      </c>
      <c r="E11" s="286">
        <v>103377</v>
      </c>
      <c r="F11" s="287">
        <v>5470</v>
      </c>
      <c r="G11" s="288">
        <v>8995</v>
      </c>
      <c r="H11" s="288">
        <v>17853</v>
      </c>
      <c r="I11" s="289">
        <v>23026</v>
      </c>
      <c r="J11" s="287">
        <v>13748</v>
      </c>
      <c r="K11" s="288">
        <v>19483</v>
      </c>
      <c r="L11" s="288">
        <v>49886</v>
      </c>
      <c r="M11" s="289">
        <v>60577</v>
      </c>
      <c r="N11" s="287">
        <v>194383</v>
      </c>
      <c r="O11" s="288">
        <v>262653</v>
      </c>
      <c r="P11" s="288">
        <v>967962</v>
      </c>
      <c r="Q11" s="289">
        <v>663802</v>
      </c>
      <c r="R11" s="287">
        <v>5499</v>
      </c>
      <c r="S11" s="288">
        <v>5508</v>
      </c>
      <c r="T11" s="288">
        <v>22854</v>
      </c>
      <c r="U11" s="289">
        <v>25805</v>
      </c>
      <c r="V11" s="287">
        <v>44379</v>
      </c>
      <c r="W11" s="288">
        <v>34350</v>
      </c>
      <c r="X11" s="288">
        <v>170400</v>
      </c>
      <c r="Y11" s="289">
        <v>110923</v>
      </c>
      <c r="Z11" s="287">
        <v>11222</v>
      </c>
      <c r="AA11" s="288">
        <v>7026</v>
      </c>
      <c r="AB11" s="288">
        <v>44139</v>
      </c>
      <c r="AC11" s="289">
        <v>49212</v>
      </c>
      <c r="AD11" s="287">
        <v>23298</v>
      </c>
      <c r="AE11" s="288">
        <v>21610</v>
      </c>
      <c r="AF11" s="288">
        <v>80068</v>
      </c>
      <c r="AG11" s="289">
        <v>63235</v>
      </c>
      <c r="AH11" s="287">
        <v>3830</v>
      </c>
      <c r="AI11" s="288">
        <v>9081</v>
      </c>
      <c r="AJ11" s="288">
        <v>46044</v>
      </c>
      <c r="AK11" s="289">
        <v>51992</v>
      </c>
      <c r="AL11" s="287">
        <v>17942</v>
      </c>
      <c r="AM11" s="288">
        <v>13742</v>
      </c>
      <c r="AN11" s="288">
        <v>64380</v>
      </c>
      <c r="AO11" s="751">
        <v>50658</v>
      </c>
      <c r="AP11" s="298">
        <v>83017</v>
      </c>
      <c r="AQ11" s="288">
        <v>86401</v>
      </c>
      <c r="AR11" s="288">
        <v>289198</v>
      </c>
      <c r="AS11" s="751">
        <v>262576</v>
      </c>
      <c r="AT11" s="298">
        <v>290679</v>
      </c>
      <c r="AU11" s="288">
        <v>262714</v>
      </c>
      <c r="AV11" s="288">
        <v>1008829</v>
      </c>
      <c r="AW11" s="751">
        <v>903186</v>
      </c>
      <c r="AX11" s="298">
        <v>14913</v>
      </c>
      <c r="AY11" s="288">
        <v>14063</v>
      </c>
      <c r="AZ11" s="288">
        <v>42994</v>
      </c>
      <c r="BA11" s="751">
        <v>46615</v>
      </c>
      <c r="BB11" s="298">
        <v>20124</v>
      </c>
      <c r="BC11" s="288">
        <v>20472</v>
      </c>
      <c r="BD11" s="288">
        <v>64565</v>
      </c>
      <c r="BE11" s="289">
        <v>71143</v>
      </c>
      <c r="BF11" s="287">
        <v>32399</v>
      </c>
      <c r="BG11" s="288">
        <v>33865</v>
      </c>
      <c r="BH11" s="288">
        <v>118144</v>
      </c>
      <c r="BI11" s="289">
        <v>131622</v>
      </c>
      <c r="BJ11" s="287">
        <v>230686</v>
      </c>
      <c r="BK11" s="288">
        <v>168218</v>
      </c>
      <c r="BL11" s="288">
        <v>731465</v>
      </c>
      <c r="BM11" s="289">
        <v>428724</v>
      </c>
      <c r="BN11" s="287">
        <v>48020</v>
      </c>
      <c r="BO11" s="288">
        <v>34595</v>
      </c>
      <c r="BP11" s="288">
        <v>140350</v>
      </c>
      <c r="BQ11" s="289">
        <v>148074</v>
      </c>
      <c r="BR11" s="287">
        <v>37408</v>
      </c>
      <c r="BS11" s="288">
        <v>50533</v>
      </c>
      <c r="BT11" s="288">
        <v>139036</v>
      </c>
      <c r="BU11" s="289">
        <v>151561</v>
      </c>
      <c r="BV11" s="291"/>
      <c r="BW11" s="288"/>
      <c r="BX11" s="288"/>
      <c r="BY11" s="289"/>
      <c r="BZ11" s="1520">
        <v>151240</v>
      </c>
      <c r="CA11" s="1521">
        <v>157993</v>
      </c>
      <c r="CB11" s="1521">
        <v>531825</v>
      </c>
      <c r="CC11" s="1522">
        <v>481616</v>
      </c>
      <c r="CD11" s="757">
        <v>16923</v>
      </c>
      <c r="CE11" s="293">
        <v>10777</v>
      </c>
      <c r="CF11" s="293">
        <v>55167</v>
      </c>
      <c r="CG11" s="294">
        <v>36179</v>
      </c>
      <c r="CH11" s="295">
        <v>8954</v>
      </c>
      <c r="CI11" s="296">
        <v>8403</v>
      </c>
      <c r="CJ11" s="296">
        <v>28477</v>
      </c>
      <c r="CK11" s="297">
        <v>31278</v>
      </c>
      <c r="CL11" s="298">
        <v>47689</v>
      </c>
      <c r="CM11" s="288">
        <v>43284</v>
      </c>
      <c r="CN11" s="288">
        <v>174919</v>
      </c>
      <c r="CO11" s="289">
        <v>149817</v>
      </c>
      <c r="CP11" s="299">
        <f t="shared" si="2"/>
        <v>1336585</v>
      </c>
      <c r="CQ11" s="299">
        <f t="shared" si="0"/>
        <v>1303500</v>
      </c>
      <c r="CR11" s="299">
        <f t="shared" si="0"/>
        <v>4902140</v>
      </c>
      <c r="CS11" s="1109">
        <f t="shared" si="0"/>
        <v>4044998</v>
      </c>
      <c r="CT11" s="295">
        <v>792848</v>
      </c>
      <c r="CU11" s="296">
        <v>662442</v>
      </c>
      <c r="CV11" s="296">
        <v>2725494</v>
      </c>
      <c r="CW11" s="1108">
        <v>2696959</v>
      </c>
      <c r="CX11" s="299">
        <f t="shared" si="3"/>
        <v>2129433</v>
      </c>
      <c r="CY11" s="299">
        <f t="shared" si="1"/>
        <v>1965942</v>
      </c>
      <c r="CZ11" s="299">
        <f t="shared" si="1"/>
        <v>7627634</v>
      </c>
      <c r="DA11" s="300">
        <f t="shared" si="1"/>
        <v>6741957</v>
      </c>
    </row>
    <row r="12" spans="1:105" ht="16.5">
      <c r="A12" s="283" t="s">
        <v>87</v>
      </c>
      <c r="B12" s="284">
        <v>31147</v>
      </c>
      <c r="C12" s="285">
        <v>30245</v>
      </c>
      <c r="D12" s="285">
        <v>124368</v>
      </c>
      <c r="E12" s="286">
        <v>127406</v>
      </c>
      <c r="F12" s="287">
        <v>6999</v>
      </c>
      <c r="G12" s="288">
        <v>4964</v>
      </c>
      <c r="H12" s="288">
        <v>46003</v>
      </c>
      <c r="I12" s="289">
        <v>32678</v>
      </c>
      <c r="J12" s="287">
        <v>77153</v>
      </c>
      <c r="K12" s="288">
        <v>184347</v>
      </c>
      <c r="L12" s="288">
        <v>196496</v>
      </c>
      <c r="M12" s="289">
        <v>252956</v>
      </c>
      <c r="N12" s="287">
        <v>236092</v>
      </c>
      <c r="O12" s="288">
        <v>48939</v>
      </c>
      <c r="P12" s="288">
        <v>436035</v>
      </c>
      <c r="Q12" s="289">
        <v>114723</v>
      </c>
      <c r="R12" s="287">
        <v>-56900</v>
      </c>
      <c r="S12" s="288">
        <v>243661</v>
      </c>
      <c r="T12" s="288">
        <v>74108</v>
      </c>
      <c r="U12" s="289">
        <v>330197</v>
      </c>
      <c r="V12" s="287">
        <v>28477</v>
      </c>
      <c r="W12" s="288">
        <v>14553</v>
      </c>
      <c r="X12" s="288">
        <v>108009</v>
      </c>
      <c r="Y12" s="289">
        <v>60691</v>
      </c>
      <c r="Z12" s="287">
        <v>62973</v>
      </c>
      <c r="AA12" s="288">
        <v>75326</v>
      </c>
      <c r="AB12" s="288">
        <v>233333</v>
      </c>
      <c r="AC12" s="289">
        <v>225210</v>
      </c>
      <c r="AD12" s="287">
        <v>36698</v>
      </c>
      <c r="AE12" s="288">
        <v>21612</v>
      </c>
      <c r="AF12" s="288">
        <v>90887</v>
      </c>
      <c r="AG12" s="289">
        <v>83584</v>
      </c>
      <c r="AH12" s="287">
        <f>26007+170396</f>
        <v>196403</v>
      </c>
      <c r="AI12" s="288">
        <f>28042+180386</f>
        <v>208428</v>
      </c>
      <c r="AJ12" s="288">
        <f>31802+559724</f>
        <v>591526</v>
      </c>
      <c r="AK12" s="289">
        <f>56272+498383</f>
        <v>554655</v>
      </c>
      <c r="AL12" s="287">
        <v>349852</v>
      </c>
      <c r="AM12" s="288">
        <v>238540</v>
      </c>
      <c r="AN12" s="288">
        <v>1133925</v>
      </c>
      <c r="AO12" s="751">
        <v>771210</v>
      </c>
      <c r="AP12" s="298">
        <v>420331</v>
      </c>
      <c r="AQ12" s="288">
        <v>444326</v>
      </c>
      <c r="AR12" s="288">
        <v>1805502</v>
      </c>
      <c r="AS12" s="751">
        <v>1267865</v>
      </c>
      <c r="AT12" s="298">
        <v>295857</v>
      </c>
      <c r="AU12" s="288">
        <v>182816</v>
      </c>
      <c r="AV12" s="288">
        <v>1109397</v>
      </c>
      <c r="AW12" s="751">
        <v>661268</v>
      </c>
      <c r="AX12" s="298">
        <v>43526</v>
      </c>
      <c r="AY12" s="288">
        <v>44837</v>
      </c>
      <c r="AZ12" s="288">
        <v>169447</v>
      </c>
      <c r="BA12" s="751">
        <v>173230</v>
      </c>
      <c r="BB12" s="298">
        <v>18382</v>
      </c>
      <c r="BC12" s="288">
        <v>16475</v>
      </c>
      <c r="BD12" s="288">
        <v>60487</v>
      </c>
      <c r="BE12" s="289">
        <v>64143</v>
      </c>
      <c r="BF12" s="287">
        <v>46229</v>
      </c>
      <c r="BG12" s="288">
        <v>41402</v>
      </c>
      <c r="BH12" s="288">
        <v>182388</v>
      </c>
      <c r="BI12" s="289">
        <v>169693</v>
      </c>
      <c r="BJ12" s="287">
        <v>184236</v>
      </c>
      <c r="BK12" s="288">
        <v>156304</v>
      </c>
      <c r="BL12" s="288">
        <v>446582</v>
      </c>
      <c r="BM12" s="289">
        <v>303419</v>
      </c>
      <c r="BN12" s="287">
        <v>55162</v>
      </c>
      <c r="BO12" s="288">
        <v>23958</v>
      </c>
      <c r="BP12" s="288">
        <v>134574</v>
      </c>
      <c r="BQ12" s="289">
        <v>99725</v>
      </c>
      <c r="BR12" s="287">
        <v>76761</v>
      </c>
      <c r="BS12" s="288">
        <v>121558</v>
      </c>
      <c r="BT12" s="288">
        <v>296016</v>
      </c>
      <c r="BU12" s="289">
        <v>308466</v>
      </c>
      <c r="BV12" s="291"/>
      <c r="BW12" s="288"/>
      <c r="BX12" s="288"/>
      <c r="BY12" s="289"/>
      <c r="BZ12" s="1520">
        <v>462580</v>
      </c>
      <c r="CA12" s="1521">
        <v>264843</v>
      </c>
      <c r="CB12" s="1521">
        <v>1296238</v>
      </c>
      <c r="CC12" s="1522">
        <v>896635</v>
      </c>
      <c r="CD12" s="757">
        <v>-31005</v>
      </c>
      <c r="CE12" s="293">
        <v>77805</v>
      </c>
      <c r="CF12" s="293">
        <v>215222</v>
      </c>
      <c r="CG12" s="294">
        <v>187103</v>
      </c>
      <c r="CH12" s="295">
        <v>22124</v>
      </c>
      <c r="CI12" s="296">
        <v>15456</v>
      </c>
      <c r="CJ12" s="296">
        <v>71187</v>
      </c>
      <c r="CK12" s="297">
        <v>65077</v>
      </c>
      <c r="CL12" s="298">
        <v>646420</v>
      </c>
      <c r="CM12" s="288">
        <v>613719</v>
      </c>
      <c r="CN12" s="288">
        <v>1790542</v>
      </c>
      <c r="CO12" s="289">
        <v>1422865</v>
      </c>
      <c r="CP12" s="299">
        <f t="shared" si="2"/>
        <v>3209497</v>
      </c>
      <c r="CQ12" s="299">
        <f t="shared" si="0"/>
        <v>3074114</v>
      </c>
      <c r="CR12" s="299">
        <f t="shared" si="0"/>
        <v>10612272</v>
      </c>
      <c r="CS12" s="1109">
        <f t="shared" si="0"/>
        <v>8172799</v>
      </c>
      <c r="CT12" s="295">
        <v>16286</v>
      </c>
      <c r="CU12" s="296">
        <v>32515</v>
      </c>
      <c r="CV12" s="296">
        <v>141158</v>
      </c>
      <c r="CW12" s="1108">
        <v>128407</v>
      </c>
      <c r="CX12" s="299">
        <f t="shared" si="3"/>
        <v>3225783</v>
      </c>
      <c r="CY12" s="299">
        <f t="shared" si="1"/>
        <v>3106629</v>
      </c>
      <c r="CZ12" s="299">
        <f t="shared" si="1"/>
        <v>10753430</v>
      </c>
      <c r="DA12" s="300">
        <f t="shared" si="1"/>
        <v>8301206</v>
      </c>
    </row>
    <row r="13" spans="1:105" ht="16.5">
      <c r="A13" s="283" t="s">
        <v>88</v>
      </c>
      <c r="B13" s="284">
        <v>43479</v>
      </c>
      <c r="C13" s="285">
        <v>34688</v>
      </c>
      <c r="D13" s="285">
        <v>124041</v>
      </c>
      <c r="E13" s="286">
        <v>78164</v>
      </c>
      <c r="F13" s="287">
        <v>14646</v>
      </c>
      <c r="G13" s="288">
        <v>21756</v>
      </c>
      <c r="H13" s="288">
        <v>75901</v>
      </c>
      <c r="I13" s="289">
        <v>79624</v>
      </c>
      <c r="J13" s="287">
        <v>2306</v>
      </c>
      <c r="K13" s="288">
        <v>3317</v>
      </c>
      <c r="L13" s="288">
        <v>10491</v>
      </c>
      <c r="M13" s="289">
        <v>12057</v>
      </c>
      <c r="N13" s="287">
        <v>6026</v>
      </c>
      <c r="O13" s="288">
        <v>4538</v>
      </c>
      <c r="P13" s="288">
        <v>19351</v>
      </c>
      <c r="Q13" s="289">
        <v>16452</v>
      </c>
      <c r="R13" s="287">
        <v>2754</v>
      </c>
      <c r="S13" s="288">
        <v>-3446</v>
      </c>
      <c r="T13" s="288">
        <v>20718</v>
      </c>
      <c r="U13" s="289">
        <v>20535</v>
      </c>
      <c r="V13" s="287">
        <v>11879</v>
      </c>
      <c r="W13" s="288">
        <v>8690</v>
      </c>
      <c r="X13" s="288">
        <v>37558</v>
      </c>
      <c r="Y13" s="289">
        <v>28434</v>
      </c>
      <c r="Z13" s="287">
        <v>1875</v>
      </c>
      <c r="AA13" s="288">
        <v>3152</v>
      </c>
      <c r="AB13" s="288">
        <v>9914</v>
      </c>
      <c r="AC13" s="289">
        <v>8495</v>
      </c>
      <c r="AD13" s="287">
        <v>12461</v>
      </c>
      <c r="AE13" s="288">
        <v>5773</v>
      </c>
      <c r="AF13" s="288">
        <v>32088</v>
      </c>
      <c r="AG13" s="289">
        <v>16762</v>
      </c>
      <c r="AH13" s="287">
        <v>15521</v>
      </c>
      <c r="AI13" s="288">
        <v>7339</v>
      </c>
      <c r="AJ13" s="288">
        <v>48659</v>
      </c>
      <c r="AK13" s="289">
        <v>25863</v>
      </c>
      <c r="AL13" s="287">
        <v>7554</v>
      </c>
      <c r="AM13" s="288">
        <v>3698</v>
      </c>
      <c r="AN13" s="288">
        <v>18362</v>
      </c>
      <c r="AO13" s="751">
        <v>14938</v>
      </c>
      <c r="AP13" s="298">
        <v>69471</v>
      </c>
      <c r="AQ13" s="288">
        <v>57863</v>
      </c>
      <c r="AR13" s="288">
        <v>210104</v>
      </c>
      <c r="AS13" s="751">
        <v>197931</v>
      </c>
      <c r="AT13" s="298">
        <v>85695</v>
      </c>
      <c r="AU13" s="288">
        <v>90426</v>
      </c>
      <c r="AV13" s="288">
        <v>245449</v>
      </c>
      <c r="AW13" s="751">
        <v>211530</v>
      </c>
      <c r="AX13" s="298">
        <v>4829</v>
      </c>
      <c r="AY13" s="288">
        <v>4850</v>
      </c>
      <c r="AZ13" s="288">
        <v>16442</v>
      </c>
      <c r="BA13" s="751">
        <v>13606</v>
      </c>
      <c r="BB13" s="298">
        <v>6205</v>
      </c>
      <c r="BC13" s="288">
        <v>4433</v>
      </c>
      <c r="BD13" s="288">
        <v>18867</v>
      </c>
      <c r="BE13" s="289">
        <v>15765</v>
      </c>
      <c r="BF13" s="287">
        <v>37892</v>
      </c>
      <c r="BG13" s="288">
        <v>32300</v>
      </c>
      <c r="BH13" s="288">
        <v>88250</v>
      </c>
      <c r="BI13" s="289">
        <v>69045</v>
      </c>
      <c r="BJ13" s="287">
        <v>85706</v>
      </c>
      <c r="BK13" s="288">
        <v>71867</v>
      </c>
      <c r="BL13" s="288">
        <v>266331</v>
      </c>
      <c r="BM13" s="289">
        <v>242499</v>
      </c>
      <c r="BN13" s="287">
        <v>26704</v>
      </c>
      <c r="BO13" s="288">
        <v>20844</v>
      </c>
      <c r="BP13" s="288">
        <v>78016</v>
      </c>
      <c r="BQ13" s="289">
        <v>54691</v>
      </c>
      <c r="BR13" s="287">
        <v>4737</v>
      </c>
      <c r="BS13" s="288">
        <v>8024</v>
      </c>
      <c r="BT13" s="288">
        <v>20960</v>
      </c>
      <c r="BU13" s="289">
        <v>21503</v>
      </c>
      <c r="BV13" s="291"/>
      <c r="BW13" s="288"/>
      <c r="BX13" s="288"/>
      <c r="BY13" s="289"/>
      <c r="BZ13" s="1520">
        <v>65313</v>
      </c>
      <c r="CA13" s="1521">
        <v>77482</v>
      </c>
      <c r="CB13" s="1521">
        <v>276675</v>
      </c>
      <c r="CC13" s="1522">
        <v>236233</v>
      </c>
      <c r="CD13" s="757">
        <v>3846</v>
      </c>
      <c r="CE13" s="293">
        <v>2466</v>
      </c>
      <c r="CF13" s="293">
        <v>11094</v>
      </c>
      <c r="CG13" s="294">
        <v>9729</v>
      </c>
      <c r="CH13" s="295">
        <v>4121</v>
      </c>
      <c r="CI13" s="296">
        <v>3020</v>
      </c>
      <c r="CJ13" s="296">
        <v>13134</v>
      </c>
      <c r="CK13" s="297">
        <v>12515</v>
      </c>
      <c r="CL13" s="298">
        <v>89764</v>
      </c>
      <c r="CM13" s="288">
        <v>46357</v>
      </c>
      <c r="CN13" s="288">
        <v>242627</v>
      </c>
      <c r="CO13" s="289">
        <v>123648</v>
      </c>
      <c r="CP13" s="299">
        <f t="shared" si="2"/>
        <v>602784</v>
      </c>
      <c r="CQ13" s="299">
        <f t="shared" si="0"/>
        <v>509437</v>
      </c>
      <c r="CR13" s="299">
        <f t="shared" si="0"/>
        <v>1885032</v>
      </c>
      <c r="CS13" s="1109">
        <f t="shared" si="0"/>
        <v>1510019</v>
      </c>
      <c r="CT13" s="295">
        <v>280096</v>
      </c>
      <c r="CU13" s="296">
        <v>261476</v>
      </c>
      <c r="CV13" s="296">
        <v>648097</v>
      </c>
      <c r="CW13" s="1108">
        <v>582766</v>
      </c>
      <c r="CX13" s="299">
        <f t="shared" si="3"/>
        <v>882880</v>
      </c>
      <c r="CY13" s="299">
        <f t="shared" si="1"/>
        <v>770913</v>
      </c>
      <c r="CZ13" s="299">
        <f t="shared" si="1"/>
        <v>2533129</v>
      </c>
      <c r="DA13" s="300">
        <f t="shared" si="1"/>
        <v>2092785</v>
      </c>
    </row>
    <row r="14" spans="1:105" ht="16.5">
      <c r="A14" s="283" t="s">
        <v>89</v>
      </c>
      <c r="B14" s="284"/>
      <c r="C14" s="285"/>
      <c r="D14" s="285"/>
      <c r="E14" s="286"/>
      <c r="F14" s="287"/>
      <c r="G14" s="288"/>
      <c r="H14" s="288"/>
      <c r="I14" s="289"/>
      <c r="J14" s="287"/>
      <c r="K14" s="288"/>
      <c r="L14" s="288"/>
      <c r="M14" s="289"/>
      <c r="N14" s="287"/>
      <c r="O14" s="288"/>
      <c r="P14" s="288"/>
      <c r="Q14" s="289"/>
      <c r="R14" s="287"/>
      <c r="S14" s="288"/>
      <c r="T14" s="288"/>
      <c r="U14" s="289"/>
      <c r="V14" s="287"/>
      <c r="W14" s="288"/>
      <c r="X14" s="288"/>
      <c r="Y14" s="289"/>
      <c r="Z14" s="287"/>
      <c r="AA14" s="288"/>
      <c r="AB14" s="288"/>
      <c r="AC14" s="289"/>
      <c r="AD14" s="287"/>
      <c r="AE14" s="288"/>
      <c r="AF14" s="288"/>
      <c r="AG14" s="289"/>
      <c r="AH14" s="287"/>
      <c r="AI14" s="288"/>
      <c r="AJ14" s="288"/>
      <c r="AK14" s="289"/>
      <c r="AL14" s="287"/>
      <c r="AM14" s="288"/>
      <c r="AN14" s="288"/>
      <c r="AO14" s="751"/>
      <c r="AP14" s="298"/>
      <c r="AQ14" s="288"/>
      <c r="AR14" s="288"/>
      <c r="AS14" s="751"/>
      <c r="AT14" s="298">
        <v>4847</v>
      </c>
      <c r="AU14" s="288">
        <v>4009</v>
      </c>
      <c r="AV14" s="288">
        <v>18508</v>
      </c>
      <c r="AW14" s="751">
        <v>16263</v>
      </c>
      <c r="AX14" s="298"/>
      <c r="AY14" s="288"/>
      <c r="AZ14" s="288"/>
      <c r="BA14" s="751"/>
      <c r="BB14" s="298"/>
      <c r="BC14" s="288"/>
      <c r="BD14" s="288"/>
      <c r="BE14" s="289"/>
      <c r="BF14" s="287"/>
      <c r="BG14" s="288"/>
      <c r="BH14" s="288"/>
      <c r="BI14" s="289"/>
      <c r="BJ14" s="287"/>
      <c r="BK14" s="288"/>
      <c r="BL14" s="288"/>
      <c r="BM14" s="289"/>
      <c r="BN14" s="287"/>
      <c r="BO14" s="288"/>
      <c r="BP14" s="288"/>
      <c r="BQ14" s="289"/>
      <c r="BR14" s="287"/>
      <c r="BS14" s="288"/>
      <c r="BT14" s="288"/>
      <c r="BU14" s="289"/>
      <c r="BV14" s="291"/>
      <c r="BW14" s="288"/>
      <c r="BX14" s="288"/>
      <c r="BY14" s="289"/>
      <c r="BZ14" s="287"/>
      <c r="CA14" s="288"/>
      <c r="CB14" s="288"/>
      <c r="CC14" s="289"/>
      <c r="CD14" s="757"/>
      <c r="CE14" s="293"/>
      <c r="CF14" s="293"/>
      <c r="CG14" s="294"/>
      <c r="CH14" s="295"/>
      <c r="CI14" s="296"/>
      <c r="CJ14" s="296"/>
      <c r="CK14" s="297"/>
      <c r="CL14" s="298"/>
      <c r="CM14" s="288"/>
      <c r="CN14" s="288"/>
      <c r="CO14" s="289"/>
      <c r="CP14" s="299">
        <f t="shared" si="2"/>
        <v>4847</v>
      </c>
      <c r="CQ14" s="299">
        <f t="shared" si="0"/>
        <v>4009</v>
      </c>
      <c r="CR14" s="299">
        <f t="shared" si="0"/>
        <v>18508</v>
      </c>
      <c r="CS14" s="1109">
        <f t="shared" si="0"/>
        <v>16263</v>
      </c>
      <c r="CT14" s="295"/>
      <c r="CU14" s="296"/>
      <c r="CV14" s="296"/>
      <c r="CW14" s="1108"/>
      <c r="CX14" s="299">
        <f t="shared" si="3"/>
        <v>4847</v>
      </c>
      <c r="CY14" s="299">
        <f t="shared" si="1"/>
        <v>4009</v>
      </c>
      <c r="CZ14" s="299">
        <f t="shared" si="1"/>
        <v>18508</v>
      </c>
      <c r="DA14" s="300">
        <f t="shared" si="1"/>
        <v>16263</v>
      </c>
    </row>
    <row r="15" spans="1:105" ht="16.5">
      <c r="A15" s="283" t="s">
        <v>90</v>
      </c>
      <c r="B15" s="284">
        <v>2400</v>
      </c>
      <c r="C15" s="285">
        <v>2400</v>
      </c>
      <c r="D15" s="285">
        <v>7800</v>
      </c>
      <c r="E15" s="286">
        <v>7800</v>
      </c>
      <c r="F15" s="287">
        <v>1225</v>
      </c>
      <c r="G15" s="288">
        <v>875</v>
      </c>
      <c r="H15" s="288">
        <v>3903</v>
      </c>
      <c r="I15" s="289">
        <v>3500</v>
      </c>
      <c r="J15" s="287">
        <v>1289</v>
      </c>
      <c r="K15" s="288">
        <v>1345</v>
      </c>
      <c r="L15" s="288">
        <v>5697</v>
      </c>
      <c r="M15" s="289">
        <v>6658</v>
      </c>
      <c r="N15" s="287">
        <v>2376</v>
      </c>
      <c r="O15" s="288">
        <v>2375</v>
      </c>
      <c r="P15" s="288">
        <v>9500</v>
      </c>
      <c r="Q15" s="289">
        <v>9500</v>
      </c>
      <c r="R15" s="287">
        <v>1374</v>
      </c>
      <c r="S15" s="288">
        <v>1150</v>
      </c>
      <c r="T15" s="288">
        <v>5500</v>
      </c>
      <c r="U15" s="289">
        <v>4150</v>
      </c>
      <c r="V15" s="287">
        <v>2864</v>
      </c>
      <c r="W15" s="288">
        <v>2915</v>
      </c>
      <c r="X15" s="288">
        <v>4703</v>
      </c>
      <c r="Y15" s="289">
        <v>5063</v>
      </c>
      <c r="Z15" s="287">
        <v>1476</v>
      </c>
      <c r="AA15" s="288">
        <v>700</v>
      </c>
      <c r="AB15" s="288">
        <v>4100</v>
      </c>
      <c r="AC15" s="289">
        <v>2800</v>
      </c>
      <c r="AD15" s="287">
        <v>875</v>
      </c>
      <c r="AE15" s="288">
        <v>725</v>
      </c>
      <c r="AF15" s="288">
        <v>2600</v>
      </c>
      <c r="AG15" s="289">
        <v>2300</v>
      </c>
      <c r="AH15" s="287">
        <v>750</v>
      </c>
      <c r="AI15" s="288">
        <v>250</v>
      </c>
      <c r="AJ15" s="288">
        <v>3700</v>
      </c>
      <c r="AK15" s="289">
        <v>3000</v>
      </c>
      <c r="AL15" s="287">
        <v>472</v>
      </c>
      <c r="AM15" s="288">
        <v>604</v>
      </c>
      <c r="AN15" s="288">
        <v>2380</v>
      </c>
      <c r="AO15" s="751">
        <v>2335</v>
      </c>
      <c r="AP15" s="298">
        <v>4200</v>
      </c>
      <c r="AQ15" s="288">
        <v>3800</v>
      </c>
      <c r="AR15" s="288">
        <v>11400</v>
      </c>
      <c r="AS15" s="751">
        <v>9800</v>
      </c>
      <c r="AT15" s="298">
        <v>4847</v>
      </c>
      <c r="AU15" s="288">
        <v>4009</v>
      </c>
      <c r="AV15" s="288">
        <v>18508</v>
      </c>
      <c r="AW15" s="751">
        <v>16263</v>
      </c>
      <c r="AX15" s="755">
        <v>917</v>
      </c>
      <c r="AY15" s="290">
        <v>775</v>
      </c>
      <c r="AZ15" s="290">
        <v>3693</v>
      </c>
      <c r="BA15" s="750">
        <v>3278</v>
      </c>
      <c r="BB15" s="298">
        <v>567</v>
      </c>
      <c r="BC15" s="288">
        <v>487</v>
      </c>
      <c r="BD15" s="288">
        <v>3166</v>
      </c>
      <c r="BE15" s="289">
        <v>2775</v>
      </c>
      <c r="BF15" s="857">
        <v>1870</v>
      </c>
      <c r="BG15" s="858">
        <v>1727</v>
      </c>
      <c r="BH15" s="858">
        <v>7887</v>
      </c>
      <c r="BI15" s="1535">
        <v>6893</v>
      </c>
      <c r="BJ15" s="287">
        <v>2259</v>
      </c>
      <c r="BK15" s="288">
        <v>2148</v>
      </c>
      <c r="BL15" s="288">
        <v>9028</v>
      </c>
      <c r="BM15" s="289">
        <v>8598</v>
      </c>
      <c r="BN15" s="287">
        <v>1625</v>
      </c>
      <c r="BO15" s="288">
        <v>1500</v>
      </c>
      <c r="BP15" s="288">
        <v>6500</v>
      </c>
      <c r="BQ15" s="289">
        <v>6000</v>
      </c>
      <c r="BR15" s="287">
        <v>1424</v>
      </c>
      <c r="BS15" s="288">
        <v>2086</v>
      </c>
      <c r="BT15" s="288">
        <v>5375</v>
      </c>
      <c r="BU15" s="289">
        <v>6268</v>
      </c>
      <c r="BV15" s="291"/>
      <c r="BW15" s="288"/>
      <c r="BX15" s="288"/>
      <c r="BY15" s="289"/>
      <c r="BZ15" s="1520">
        <v>950</v>
      </c>
      <c r="CA15" s="1521">
        <v>950</v>
      </c>
      <c r="CB15" s="1521">
        <v>4800</v>
      </c>
      <c r="CC15" s="1522">
        <v>5417</v>
      </c>
      <c r="CD15" s="757">
        <v>425</v>
      </c>
      <c r="CE15" s="293">
        <v>375</v>
      </c>
      <c r="CF15" s="293">
        <v>1700</v>
      </c>
      <c r="CG15" s="294">
        <v>1900</v>
      </c>
      <c r="CH15" s="295">
        <v>854</v>
      </c>
      <c r="CI15" s="296">
        <v>775</v>
      </c>
      <c r="CJ15" s="296">
        <v>3415</v>
      </c>
      <c r="CK15" s="297">
        <v>3105</v>
      </c>
      <c r="CL15" s="298">
        <v>1100</v>
      </c>
      <c r="CM15" s="288">
        <v>900</v>
      </c>
      <c r="CN15" s="288">
        <v>7600</v>
      </c>
      <c r="CO15" s="289">
        <v>5209</v>
      </c>
      <c r="CP15" s="284">
        <f t="shared" si="2"/>
        <v>36139</v>
      </c>
      <c r="CQ15" s="284">
        <f t="shared" si="0"/>
        <v>32871</v>
      </c>
      <c r="CR15" s="284">
        <f t="shared" si="0"/>
        <v>132955</v>
      </c>
      <c r="CS15" s="1467">
        <f t="shared" si="0"/>
        <v>122612</v>
      </c>
      <c r="CT15" s="298">
        <v>-11197</v>
      </c>
      <c r="CU15" s="288">
        <v>-14051</v>
      </c>
      <c r="CV15" s="288">
        <v>48450</v>
      </c>
      <c r="CW15" s="751">
        <v>44967</v>
      </c>
      <c r="CX15" s="284">
        <f t="shared" si="3"/>
        <v>24942</v>
      </c>
      <c r="CY15" s="284">
        <f t="shared" si="1"/>
        <v>18820</v>
      </c>
      <c r="CZ15" s="284">
        <f t="shared" si="1"/>
        <v>181405</v>
      </c>
      <c r="DA15" s="1471">
        <f t="shared" si="1"/>
        <v>167579</v>
      </c>
    </row>
    <row r="16" spans="1:105" ht="16.5">
      <c r="A16" s="283" t="s">
        <v>91</v>
      </c>
      <c r="B16" s="284">
        <v>28</v>
      </c>
      <c r="C16" s="285">
        <v>180</v>
      </c>
      <c r="D16" s="285">
        <v>363</v>
      </c>
      <c r="E16" s="286">
        <v>642</v>
      </c>
      <c r="F16" s="287">
        <v>20</v>
      </c>
      <c r="G16" s="288"/>
      <c r="H16" s="288">
        <v>20</v>
      </c>
      <c r="I16" s="289">
        <v>6</v>
      </c>
      <c r="J16" s="287"/>
      <c r="K16" s="288"/>
      <c r="L16" s="288"/>
      <c r="M16" s="289"/>
      <c r="N16" s="287"/>
      <c r="O16" s="288"/>
      <c r="P16" s="288"/>
      <c r="Q16" s="289"/>
      <c r="R16" s="287"/>
      <c r="S16" s="288"/>
      <c r="T16" s="288"/>
      <c r="U16" s="289"/>
      <c r="V16" s="287"/>
      <c r="W16" s="288"/>
      <c r="X16" s="288"/>
      <c r="Y16" s="289"/>
      <c r="Z16" s="287"/>
      <c r="AA16" s="288"/>
      <c r="AB16" s="288"/>
      <c r="AC16" s="289"/>
      <c r="AD16" s="287"/>
      <c r="AE16" s="288"/>
      <c r="AF16" s="288"/>
      <c r="AG16" s="289"/>
      <c r="AH16" s="287"/>
      <c r="AI16" s="288"/>
      <c r="AJ16" s="288"/>
      <c r="AK16" s="289"/>
      <c r="AL16" s="287"/>
      <c r="AM16" s="288"/>
      <c r="AN16" s="288"/>
      <c r="AO16" s="751"/>
      <c r="AP16" s="298"/>
      <c r="AQ16" s="288"/>
      <c r="AR16" s="288"/>
      <c r="AS16" s="751"/>
      <c r="AT16" s="298"/>
      <c r="AU16" s="288"/>
      <c r="AV16" s="288"/>
      <c r="AW16" s="751"/>
      <c r="AX16" s="755"/>
      <c r="AY16" s="290"/>
      <c r="AZ16" s="290"/>
      <c r="BA16" s="750"/>
      <c r="BB16" s="298"/>
      <c r="BC16" s="288"/>
      <c r="BD16" s="288"/>
      <c r="BE16" s="289"/>
      <c r="BF16" s="287"/>
      <c r="BG16" s="288"/>
      <c r="BH16" s="288"/>
      <c r="BI16" s="289"/>
      <c r="BJ16" s="287"/>
      <c r="BK16" s="288"/>
      <c r="BL16" s="288"/>
      <c r="BM16" s="289"/>
      <c r="BN16" s="287"/>
      <c r="BO16" s="288"/>
      <c r="BP16" s="288"/>
      <c r="BQ16" s="289"/>
      <c r="BR16" s="287"/>
      <c r="BS16" s="288"/>
      <c r="BT16" s="288"/>
      <c r="BU16" s="289"/>
      <c r="BV16" s="291"/>
      <c r="BW16" s="288"/>
      <c r="BX16" s="288"/>
      <c r="BY16" s="289"/>
      <c r="BZ16" s="1520"/>
      <c r="CA16" s="1521"/>
      <c r="CB16" s="1521"/>
      <c r="CC16" s="1522"/>
      <c r="CD16" s="757"/>
      <c r="CE16" s="293"/>
      <c r="CF16" s="293"/>
      <c r="CG16" s="294"/>
      <c r="CH16" s="295"/>
      <c r="CI16" s="296"/>
      <c r="CJ16" s="296"/>
      <c r="CK16" s="297"/>
      <c r="CL16" s="298"/>
      <c r="CM16" s="288"/>
      <c r="CN16" s="288"/>
      <c r="CO16" s="289"/>
      <c r="CP16" s="299">
        <f t="shared" si="2"/>
        <v>48</v>
      </c>
      <c r="CQ16" s="299">
        <f t="shared" si="0"/>
        <v>180</v>
      </c>
      <c r="CR16" s="299">
        <f t="shared" si="0"/>
        <v>383</v>
      </c>
      <c r="CS16" s="1109">
        <f t="shared" si="0"/>
        <v>648</v>
      </c>
      <c r="CT16" s="298"/>
      <c r="CU16" s="288"/>
      <c r="CV16" s="288"/>
      <c r="CW16" s="751"/>
      <c r="CX16" s="299">
        <f t="shared" si="3"/>
        <v>48</v>
      </c>
      <c r="CY16" s="299">
        <f t="shared" si="1"/>
        <v>180</v>
      </c>
      <c r="CZ16" s="299">
        <f t="shared" si="1"/>
        <v>383</v>
      </c>
      <c r="DA16" s="300">
        <f t="shared" si="1"/>
        <v>648</v>
      </c>
    </row>
    <row r="17" spans="1:105" ht="16.5">
      <c r="A17" s="283" t="s">
        <v>92</v>
      </c>
      <c r="B17" s="284">
        <v>200</v>
      </c>
      <c r="C17" s="285">
        <v>150</v>
      </c>
      <c r="D17" s="285">
        <v>200</v>
      </c>
      <c r="E17" s="286">
        <v>150</v>
      </c>
      <c r="F17" s="287"/>
      <c r="G17" s="288"/>
      <c r="H17" s="288"/>
      <c r="I17" s="289"/>
      <c r="J17" s="287"/>
      <c r="K17" s="288"/>
      <c r="L17" s="288"/>
      <c r="M17" s="289"/>
      <c r="N17" s="287">
        <v>400</v>
      </c>
      <c r="O17" s="288"/>
      <c r="P17" s="288">
        <v>400</v>
      </c>
      <c r="Q17" s="289">
        <v>400</v>
      </c>
      <c r="R17" s="287">
        <v>38</v>
      </c>
      <c r="S17" s="288">
        <v>-113</v>
      </c>
      <c r="T17" s="288">
        <v>150</v>
      </c>
      <c r="U17" s="289">
        <v>150</v>
      </c>
      <c r="V17" s="287"/>
      <c r="W17" s="288"/>
      <c r="X17" s="288">
        <v>307</v>
      </c>
      <c r="Y17" s="289">
        <v>325</v>
      </c>
      <c r="Z17" s="287">
        <v>1350</v>
      </c>
      <c r="AA17" s="288">
        <v>350</v>
      </c>
      <c r="AB17" s="288">
        <v>1350</v>
      </c>
      <c r="AC17" s="289">
        <v>350</v>
      </c>
      <c r="AD17" s="287"/>
      <c r="AE17" s="288"/>
      <c r="AF17" s="288"/>
      <c r="AG17" s="289"/>
      <c r="AH17" s="287">
        <v>38</v>
      </c>
      <c r="AI17" s="288">
        <v>38</v>
      </c>
      <c r="AJ17" s="288">
        <v>150</v>
      </c>
      <c r="AK17" s="289">
        <v>150</v>
      </c>
      <c r="AL17" s="287"/>
      <c r="AM17" s="288"/>
      <c r="AN17" s="288"/>
      <c r="AO17" s="751"/>
      <c r="AP17" s="298">
        <v>-39</v>
      </c>
      <c r="AQ17" s="288">
        <v>121</v>
      </c>
      <c r="AR17" s="288">
        <v>150</v>
      </c>
      <c r="AS17" s="751">
        <v>484</v>
      </c>
      <c r="AT17" s="298"/>
      <c r="AU17" s="288"/>
      <c r="AV17" s="288"/>
      <c r="AW17" s="751"/>
      <c r="AX17" s="755"/>
      <c r="AY17" s="290"/>
      <c r="AZ17" s="290"/>
      <c r="BA17" s="750"/>
      <c r="BB17" s="298"/>
      <c r="BC17" s="288"/>
      <c r="BD17" s="288"/>
      <c r="BE17" s="289"/>
      <c r="BF17" s="287"/>
      <c r="BG17" s="288"/>
      <c r="BH17" s="288"/>
      <c r="BI17" s="289"/>
      <c r="BJ17" s="287">
        <v>330</v>
      </c>
      <c r="BK17" s="288">
        <v>88</v>
      </c>
      <c r="BL17" s="288">
        <v>330</v>
      </c>
      <c r="BM17" s="289">
        <v>351</v>
      </c>
      <c r="BN17" s="287"/>
      <c r="BO17" s="288"/>
      <c r="BP17" s="288"/>
      <c r="BQ17" s="289"/>
      <c r="BR17" s="287"/>
      <c r="BS17" s="288"/>
      <c r="BT17" s="288"/>
      <c r="BU17" s="289"/>
      <c r="BV17" s="291"/>
      <c r="BW17" s="288"/>
      <c r="BX17" s="288"/>
      <c r="BY17" s="289"/>
      <c r="BZ17" s="1520"/>
      <c r="CA17" s="288"/>
      <c r="CB17" s="288"/>
      <c r="CC17" s="289"/>
      <c r="CD17" s="757"/>
      <c r="CE17" s="293"/>
      <c r="CF17" s="293"/>
      <c r="CG17" s="294"/>
      <c r="CH17" s="295"/>
      <c r="CI17" s="296"/>
      <c r="CJ17" s="296"/>
      <c r="CK17" s="297"/>
      <c r="CL17" s="298"/>
      <c r="CM17" s="288"/>
      <c r="CN17" s="288"/>
      <c r="CO17" s="289"/>
      <c r="CP17" s="299">
        <f t="shared" si="2"/>
        <v>2317</v>
      </c>
      <c r="CQ17" s="299">
        <f t="shared" si="0"/>
        <v>634</v>
      </c>
      <c r="CR17" s="299">
        <f t="shared" si="0"/>
        <v>3037</v>
      </c>
      <c r="CS17" s="1109">
        <f t="shared" si="0"/>
        <v>2360</v>
      </c>
      <c r="CT17" s="298">
        <v>148</v>
      </c>
      <c r="CU17" s="288">
        <v>184</v>
      </c>
      <c r="CV17" s="288">
        <v>261</v>
      </c>
      <c r="CW17" s="751">
        <v>248</v>
      </c>
      <c r="CX17" s="299">
        <f t="shared" si="3"/>
        <v>2465</v>
      </c>
      <c r="CY17" s="299">
        <f t="shared" si="1"/>
        <v>818</v>
      </c>
      <c r="CZ17" s="299">
        <f t="shared" si="1"/>
        <v>3298</v>
      </c>
      <c r="DA17" s="300">
        <f t="shared" si="1"/>
        <v>2608</v>
      </c>
    </row>
    <row r="18" spans="1:105" ht="16.5">
      <c r="A18" s="283" t="s">
        <v>93</v>
      </c>
      <c r="B18" s="284"/>
      <c r="C18" s="285"/>
      <c r="D18" s="285"/>
      <c r="E18" s="286"/>
      <c r="F18" s="287"/>
      <c r="G18" s="288"/>
      <c r="H18" s="288"/>
      <c r="I18" s="289"/>
      <c r="J18" s="287"/>
      <c r="K18" s="288"/>
      <c r="L18" s="288"/>
      <c r="M18" s="289"/>
      <c r="N18" s="287"/>
      <c r="O18" s="288"/>
      <c r="P18" s="288"/>
      <c r="Q18" s="289"/>
      <c r="R18" s="287"/>
      <c r="S18" s="288"/>
      <c r="T18" s="288"/>
      <c r="U18" s="289"/>
      <c r="V18" s="287"/>
      <c r="W18" s="288"/>
      <c r="X18" s="288"/>
      <c r="Y18" s="289"/>
      <c r="Z18" s="287"/>
      <c r="AA18" s="288"/>
      <c r="AB18" s="288"/>
      <c r="AC18" s="289"/>
      <c r="AD18" s="287"/>
      <c r="AE18" s="288"/>
      <c r="AF18" s="288"/>
      <c r="AG18" s="289"/>
      <c r="AH18" s="287"/>
      <c r="AI18" s="288"/>
      <c r="AJ18" s="288"/>
      <c r="AK18" s="289"/>
      <c r="AL18" s="287"/>
      <c r="AM18" s="288"/>
      <c r="AN18" s="288"/>
      <c r="AO18" s="751"/>
      <c r="AP18" s="298"/>
      <c r="AQ18" s="288"/>
      <c r="AR18" s="288"/>
      <c r="AS18" s="751"/>
      <c r="AT18" s="298"/>
      <c r="AU18" s="288"/>
      <c r="AV18" s="288"/>
      <c r="AW18" s="751"/>
      <c r="AX18" s="755"/>
      <c r="AY18" s="290"/>
      <c r="AZ18" s="290"/>
      <c r="BA18" s="750"/>
      <c r="BB18" s="298"/>
      <c r="BC18" s="288"/>
      <c r="BD18" s="288"/>
      <c r="BE18" s="289"/>
      <c r="BF18" s="287"/>
      <c r="BG18" s="288"/>
      <c r="BH18" s="288"/>
      <c r="BI18" s="289"/>
      <c r="BJ18" s="287"/>
      <c r="BK18" s="288"/>
      <c r="BL18" s="288"/>
      <c r="BM18" s="289"/>
      <c r="BN18" s="287"/>
      <c r="BO18" s="288"/>
      <c r="BP18" s="288"/>
      <c r="BQ18" s="289"/>
      <c r="BR18" s="287"/>
      <c r="BS18" s="288"/>
      <c r="BT18" s="288"/>
      <c r="BU18" s="289"/>
      <c r="BV18" s="291"/>
      <c r="BW18" s="288"/>
      <c r="BX18" s="288"/>
      <c r="BY18" s="289"/>
      <c r="BZ18" s="1520"/>
      <c r="CA18" s="1521"/>
      <c r="CB18" s="1521"/>
      <c r="CC18" s="1522"/>
      <c r="CD18" s="757"/>
      <c r="CE18" s="293"/>
      <c r="CF18" s="293"/>
      <c r="CG18" s="294"/>
      <c r="CH18" s="295"/>
      <c r="CI18" s="296"/>
      <c r="CJ18" s="296"/>
      <c r="CK18" s="297"/>
      <c r="CL18" s="298"/>
      <c r="CM18" s="288"/>
      <c r="CN18" s="288"/>
      <c r="CO18" s="289"/>
      <c r="CP18" s="299">
        <f t="shared" si="2"/>
        <v>0</v>
      </c>
      <c r="CQ18" s="299">
        <f t="shared" si="0"/>
        <v>0</v>
      </c>
      <c r="CR18" s="299">
        <f t="shared" si="0"/>
        <v>0</v>
      </c>
      <c r="CS18" s="1109">
        <f t="shared" si="0"/>
        <v>0</v>
      </c>
      <c r="CT18" s="298"/>
      <c r="CU18" s="288"/>
      <c r="CV18" s="288"/>
      <c r="CW18" s="751"/>
      <c r="CX18" s="299">
        <f t="shared" si="3"/>
        <v>0</v>
      </c>
      <c r="CY18" s="299">
        <f t="shared" si="1"/>
        <v>0</v>
      </c>
      <c r="CZ18" s="299">
        <f t="shared" si="1"/>
        <v>0</v>
      </c>
      <c r="DA18" s="300">
        <f t="shared" si="1"/>
        <v>0</v>
      </c>
    </row>
    <row r="19" spans="1:105" ht="16.5">
      <c r="A19" s="283" t="s">
        <v>94</v>
      </c>
      <c r="B19" s="284">
        <v>152</v>
      </c>
      <c r="C19" s="285">
        <v>329</v>
      </c>
      <c r="D19" s="285">
        <v>973</v>
      </c>
      <c r="E19" s="286">
        <v>514</v>
      </c>
      <c r="F19" s="287"/>
      <c r="G19" s="288"/>
      <c r="H19" s="288"/>
      <c r="I19" s="289"/>
      <c r="J19" s="287"/>
      <c r="K19" s="288"/>
      <c r="L19" s="288"/>
      <c r="M19" s="289"/>
      <c r="N19" s="287"/>
      <c r="O19" s="288"/>
      <c r="P19" s="288"/>
      <c r="Q19" s="289"/>
      <c r="R19" s="287">
        <v>114</v>
      </c>
      <c r="S19" s="288">
        <v>64</v>
      </c>
      <c r="T19" s="288">
        <v>293</v>
      </c>
      <c r="U19" s="289">
        <v>224</v>
      </c>
      <c r="V19" s="287"/>
      <c r="W19" s="288"/>
      <c r="X19" s="288"/>
      <c r="Y19" s="289"/>
      <c r="Z19" s="287"/>
      <c r="AA19" s="288"/>
      <c r="AB19" s="288"/>
      <c r="AC19" s="289"/>
      <c r="AD19" s="287"/>
      <c r="AE19" s="288"/>
      <c r="AF19" s="288"/>
      <c r="AG19" s="289"/>
      <c r="AH19" s="287"/>
      <c r="AI19" s="288"/>
      <c r="AJ19" s="288"/>
      <c r="AK19" s="289"/>
      <c r="AL19" s="287"/>
      <c r="AM19" s="288"/>
      <c r="AN19" s="288"/>
      <c r="AO19" s="751"/>
      <c r="AP19" s="298"/>
      <c r="AQ19" s="288"/>
      <c r="AR19" s="288"/>
      <c r="AS19" s="751"/>
      <c r="AT19" s="298"/>
      <c r="AU19" s="288"/>
      <c r="AV19" s="288"/>
      <c r="AW19" s="751"/>
      <c r="AX19" s="755"/>
      <c r="AY19" s="290"/>
      <c r="AZ19" s="290"/>
      <c r="BA19" s="750"/>
      <c r="BB19" s="298"/>
      <c r="BC19" s="288"/>
      <c r="BD19" s="288"/>
      <c r="BE19" s="289"/>
      <c r="BF19" s="287"/>
      <c r="BG19" s="288"/>
      <c r="BH19" s="288"/>
      <c r="BI19" s="289"/>
      <c r="BJ19" s="287"/>
      <c r="BK19" s="288"/>
      <c r="BL19" s="288"/>
      <c r="BM19" s="289"/>
      <c r="BN19" s="287">
        <v>1142</v>
      </c>
      <c r="BO19" s="288">
        <v>712</v>
      </c>
      <c r="BP19" s="288">
        <v>2111</v>
      </c>
      <c r="BQ19" s="289">
        <v>1205</v>
      </c>
      <c r="BR19" s="287"/>
      <c r="BS19" s="288"/>
      <c r="BT19" s="288"/>
      <c r="BU19" s="289"/>
      <c r="BV19" s="291"/>
      <c r="BW19" s="288"/>
      <c r="BX19" s="288"/>
      <c r="BY19" s="289"/>
      <c r="BZ19" s="1520"/>
      <c r="CA19" s="1523"/>
      <c r="CB19" s="1523"/>
      <c r="CC19" s="1524"/>
      <c r="CD19" s="757"/>
      <c r="CE19" s="293"/>
      <c r="CF19" s="293"/>
      <c r="CG19" s="294"/>
      <c r="CH19" s="295"/>
      <c r="CI19" s="296"/>
      <c r="CJ19" s="296"/>
      <c r="CK19" s="297"/>
      <c r="CL19" s="298"/>
      <c r="CM19" s="288"/>
      <c r="CN19" s="288"/>
      <c r="CO19" s="289"/>
      <c r="CP19" s="299">
        <f t="shared" si="2"/>
        <v>1408</v>
      </c>
      <c r="CQ19" s="299">
        <f t="shared" si="0"/>
        <v>1105</v>
      </c>
      <c r="CR19" s="299">
        <f t="shared" si="0"/>
        <v>3377</v>
      </c>
      <c r="CS19" s="1109">
        <f t="shared" si="0"/>
        <v>1943</v>
      </c>
      <c r="CT19" s="298"/>
      <c r="CU19" s="288"/>
      <c r="CV19" s="288"/>
      <c r="CW19" s="751"/>
      <c r="CX19" s="299">
        <f t="shared" si="3"/>
        <v>1408</v>
      </c>
      <c r="CY19" s="299">
        <f t="shared" si="1"/>
        <v>1105</v>
      </c>
      <c r="CZ19" s="299">
        <f t="shared" si="1"/>
        <v>3377</v>
      </c>
      <c r="DA19" s="300">
        <f t="shared" si="1"/>
        <v>1943</v>
      </c>
    </row>
    <row r="20" spans="1:105" ht="16.5">
      <c r="A20" s="283" t="s">
        <v>95</v>
      </c>
      <c r="B20" s="284"/>
      <c r="C20" s="285"/>
      <c r="D20" s="285"/>
      <c r="E20" s="286"/>
      <c r="F20" s="287">
        <v>30</v>
      </c>
      <c r="G20" s="288">
        <v>10</v>
      </c>
      <c r="H20" s="288">
        <v>50</v>
      </c>
      <c r="I20" s="289">
        <v>30</v>
      </c>
      <c r="J20" s="287">
        <v>120</v>
      </c>
      <c r="K20" s="288">
        <v>125</v>
      </c>
      <c r="L20" s="288">
        <v>630</v>
      </c>
      <c r="M20" s="289">
        <v>705</v>
      </c>
      <c r="N20" s="287">
        <v>1780</v>
      </c>
      <c r="O20" s="288">
        <v>255</v>
      </c>
      <c r="P20" s="288">
        <v>2245</v>
      </c>
      <c r="Q20" s="289">
        <v>475</v>
      </c>
      <c r="R20" s="287">
        <v>28</v>
      </c>
      <c r="S20" s="288">
        <v>15</v>
      </c>
      <c r="T20" s="288">
        <v>118</v>
      </c>
      <c r="U20" s="289">
        <v>135</v>
      </c>
      <c r="V20" s="287"/>
      <c r="W20" s="288"/>
      <c r="X20" s="288">
        <v>440</v>
      </c>
      <c r="Y20" s="289">
        <v>400</v>
      </c>
      <c r="Z20" s="287">
        <v>200</v>
      </c>
      <c r="AA20" s="288">
        <v>347</v>
      </c>
      <c r="AB20" s="288">
        <v>1994</v>
      </c>
      <c r="AC20" s="289">
        <v>1680</v>
      </c>
      <c r="AD20" s="287">
        <v>125</v>
      </c>
      <c r="AE20" s="288"/>
      <c r="AF20" s="288">
        <v>500</v>
      </c>
      <c r="AG20" s="289"/>
      <c r="AH20" s="287">
        <v>295</v>
      </c>
      <c r="AI20" s="288">
        <v>-734</v>
      </c>
      <c r="AJ20" s="288">
        <v>750</v>
      </c>
      <c r="AK20" s="289">
        <v>755</v>
      </c>
      <c r="AL20" s="287">
        <v>301</v>
      </c>
      <c r="AM20" s="288">
        <v>276</v>
      </c>
      <c r="AN20" s="288">
        <v>768</v>
      </c>
      <c r="AO20" s="751">
        <v>1106</v>
      </c>
      <c r="AP20" s="298">
        <v>880</v>
      </c>
      <c r="AQ20" s="288">
        <v>-1013</v>
      </c>
      <c r="AR20" s="288">
        <v>3456</v>
      </c>
      <c r="AS20" s="751">
        <v>3911</v>
      </c>
      <c r="AT20" s="298"/>
      <c r="AU20" s="288"/>
      <c r="AV20" s="288"/>
      <c r="AW20" s="751"/>
      <c r="AX20" s="755">
        <v>74</v>
      </c>
      <c r="AY20" s="290">
        <v>62</v>
      </c>
      <c r="AZ20" s="290">
        <v>298</v>
      </c>
      <c r="BA20" s="750">
        <v>260</v>
      </c>
      <c r="BB20" s="298">
        <v>40</v>
      </c>
      <c r="BC20" s="288"/>
      <c r="BD20" s="288">
        <v>40</v>
      </c>
      <c r="BE20" s="289">
        <v>62.5</v>
      </c>
      <c r="BF20" s="857">
        <v>1093</v>
      </c>
      <c r="BG20" s="858">
        <v>684</v>
      </c>
      <c r="BH20" s="858">
        <v>1408</v>
      </c>
      <c r="BI20" s="1535">
        <v>784</v>
      </c>
      <c r="BJ20" s="287">
        <v>808</v>
      </c>
      <c r="BK20" s="288">
        <v>514</v>
      </c>
      <c r="BL20" s="288">
        <v>2911</v>
      </c>
      <c r="BM20" s="289">
        <v>2051</v>
      </c>
      <c r="BN20" s="301">
        <v>95</v>
      </c>
      <c r="BO20" s="301">
        <v>34</v>
      </c>
      <c r="BP20" s="301">
        <v>283</v>
      </c>
      <c r="BQ20" s="289">
        <v>134</v>
      </c>
      <c r="BR20" s="287">
        <v>10</v>
      </c>
      <c r="BS20" s="288">
        <v>143</v>
      </c>
      <c r="BT20" s="288">
        <v>920</v>
      </c>
      <c r="BU20" s="289">
        <v>557</v>
      </c>
      <c r="BV20" s="291"/>
      <c r="BW20" s="288"/>
      <c r="BX20" s="288"/>
      <c r="BY20" s="289"/>
      <c r="BZ20" s="1520">
        <v>29</v>
      </c>
      <c r="CA20" s="1521">
        <v>131</v>
      </c>
      <c r="CB20" s="1521">
        <v>1643</v>
      </c>
      <c r="CC20" s="1522">
        <v>1266</v>
      </c>
      <c r="CD20" s="757"/>
      <c r="CE20" s="293"/>
      <c r="CF20" s="293"/>
      <c r="CG20" s="294"/>
      <c r="CH20" s="295">
        <v>152</v>
      </c>
      <c r="CI20" s="296">
        <v>235</v>
      </c>
      <c r="CJ20" s="296">
        <v>3090</v>
      </c>
      <c r="CK20" s="297">
        <v>2881</v>
      </c>
      <c r="CL20" s="298">
        <v>226</v>
      </c>
      <c r="CM20" s="288">
        <v>151</v>
      </c>
      <c r="CN20" s="288">
        <v>640</v>
      </c>
      <c r="CO20" s="289">
        <v>661</v>
      </c>
      <c r="CP20" s="284">
        <f t="shared" si="2"/>
        <v>6286</v>
      </c>
      <c r="CQ20" s="284">
        <f t="shared" si="0"/>
        <v>1235</v>
      </c>
      <c r="CR20" s="284">
        <f t="shared" si="0"/>
        <v>22184</v>
      </c>
      <c r="CS20" s="1467">
        <f t="shared" si="0"/>
        <v>17853.5</v>
      </c>
      <c r="CT20" s="298"/>
      <c r="CU20" s="288"/>
      <c r="CV20" s="288"/>
      <c r="CW20" s="751"/>
      <c r="CX20" s="284">
        <f t="shared" si="3"/>
        <v>6286</v>
      </c>
      <c r="CY20" s="284">
        <f t="shared" si="1"/>
        <v>1235</v>
      </c>
      <c r="CZ20" s="284">
        <f t="shared" si="1"/>
        <v>22184</v>
      </c>
      <c r="DA20" s="1471">
        <f t="shared" si="1"/>
        <v>17853.5</v>
      </c>
    </row>
    <row r="21" spans="1:105" ht="17.25">
      <c r="A21" s="283" t="s">
        <v>96</v>
      </c>
      <c r="B21" s="284"/>
      <c r="C21" s="285"/>
      <c r="D21" s="285"/>
      <c r="E21" s="286"/>
      <c r="F21" s="287"/>
      <c r="G21" s="288"/>
      <c r="H21" s="288"/>
      <c r="I21" s="289"/>
      <c r="J21" s="287"/>
      <c r="K21" s="288"/>
      <c r="L21" s="288"/>
      <c r="M21" s="289"/>
      <c r="N21" s="287">
        <v>188</v>
      </c>
      <c r="O21" s="288">
        <v>286</v>
      </c>
      <c r="P21" s="288">
        <v>1059</v>
      </c>
      <c r="Q21" s="289">
        <v>1260</v>
      </c>
      <c r="R21" s="287"/>
      <c r="S21" s="288"/>
      <c r="T21" s="288"/>
      <c r="U21" s="289"/>
      <c r="V21" s="287"/>
      <c r="W21" s="288"/>
      <c r="X21" s="288"/>
      <c r="Y21" s="289"/>
      <c r="Z21" s="287">
        <v>143</v>
      </c>
      <c r="AA21" s="288">
        <v>244</v>
      </c>
      <c r="AB21" s="288">
        <v>615</v>
      </c>
      <c r="AC21" s="289">
        <v>966</v>
      </c>
      <c r="AD21" s="287">
        <v>-250</v>
      </c>
      <c r="AE21" s="288">
        <v>55</v>
      </c>
      <c r="AF21" s="288">
        <v>200</v>
      </c>
      <c r="AG21" s="289">
        <v>200</v>
      </c>
      <c r="AH21" s="287">
        <v>-169</v>
      </c>
      <c r="AI21" s="288">
        <v>-12</v>
      </c>
      <c r="AJ21" s="288">
        <v>208</v>
      </c>
      <c r="AK21" s="289">
        <v>226</v>
      </c>
      <c r="AL21" s="287"/>
      <c r="AM21" s="288"/>
      <c r="AN21" s="288"/>
      <c r="AO21" s="751"/>
      <c r="AP21" s="298"/>
      <c r="AQ21" s="288"/>
      <c r="AR21" s="288"/>
      <c r="AS21" s="751"/>
      <c r="AT21" s="298"/>
      <c r="AU21" s="288"/>
      <c r="AV21" s="288"/>
      <c r="AW21" s="751"/>
      <c r="AX21" s="755"/>
      <c r="AY21" s="290"/>
      <c r="AZ21" s="290"/>
      <c r="BA21" s="750"/>
      <c r="BB21" s="298"/>
      <c r="BC21" s="288"/>
      <c r="BD21" s="288"/>
      <c r="BE21" s="289"/>
      <c r="BF21" s="287"/>
      <c r="BG21" s="288"/>
      <c r="BH21" s="288"/>
      <c r="BI21" s="289"/>
      <c r="BJ21" s="287">
        <v>514</v>
      </c>
      <c r="BK21" s="288">
        <v>388</v>
      </c>
      <c r="BL21" s="288">
        <v>1362</v>
      </c>
      <c r="BM21" s="289">
        <v>1213</v>
      </c>
      <c r="BN21" s="304"/>
      <c r="BO21" s="305"/>
      <c r="BP21" s="305"/>
      <c r="BQ21" s="289"/>
      <c r="BR21" s="287"/>
      <c r="BS21" s="288"/>
      <c r="BT21" s="288"/>
      <c r="BU21" s="289"/>
      <c r="BV21" s="291"/>
      <c r="BW21" s="288"/>
      <c r="BX21" s="288"/>
      <c r="BY21" s="289"/>
      <c r="BZ21" s="1520">
        <v>147</v>
      </c>
      <c r="CA21" s="288"/>
      <c r="CB21" s="288">
        <v>289</v>
      </c>
      <c r="CC21" s="289"/>
      <c r="CD21" s="757"/>
      <c r="CE21" s="293"/>
      <c r="CF21" s="293"/>
      <c r="CG21" s="294"/>
      <c r="CH21" s="295"/>
      <c r="CI21" s="296"/>
      <c r="CJ21" s="296"/>
      <c r="CK21" s="297"/>
      <c r="CL21" s="298">
        <v>39</v>
      </c>
      <c r="CM21" s="288">
        <v>47</v>
      </c>
      <c r="CN21" s="288">
        <v>302</v>
      </c>
      <c r="CO21" s="289">
        <v>190</v>
      </c>
      <c r="CP21" s="299">
        <f t="shared" si="2"/>
        <v>612</v>
      </c>
      <c r="CQ21" s="299">
        <f t="shared" si="2"/>
        <v>1008</v>
      </c>
      <c r="CR21" s="299">
        <f t="shared" si="2"/>
        <v>4035</v>
      </c>
      <c r="CS21" s="1109">
        <f t="shared" si="2"/>
        <v>4055</v>
      </c>
      <c r="CT21" s="295"/>
      <c r="CU21" s="296"/>
      <c r="CV21" s="296"/>
      <c r="CW21" s="1108"/>
      <c r="CX21" s="299">
        <f t="shared" si="3"/>
        <v>612</v>
      </c>
      <c r="CY21" s="299">
        <f t="shared" si="3"/>
        <v>1008</v>
      </c>
      <c r="CZ21" s="299">
        <f t="shared" si="3"/>
        <v>4035</v>
      </c>
      <c r="DA21" s="300">
        <f t="shared" si="3"/>
        <v>4055</v>
      </c>
    </row>
    <row r="22" spans="1:105" ht="16.5">
      <c r="A22" s="283" t="s">
        <v>97</v>
      </c>
      <c r="B22" s="284">
        <v>585104</v>
      </c>
      <c r="C22" s="285">
        <v>132225</v>
      </c>
      <c r="D22" s="285">
        <v>1372193</v>
      </c>
      <c r="E22" s="286">
        <v>467439</v>
      </c>
      <c r="F22" s="287">
        <v>96962</v>
      </c>
      <c r="G22" s="288">
        <v>202394</v>
      </c>
      <c r="H22" s="288">
        <v>444558</v>
      </c>
      <c r="I22" s="289">
        <v>583497</v>
      </c>
      <c r="J22" s="287">
        <v>116054</v>
      </c>
      <c r="K22" s="288">
        <v>141966</v>
      </c>
      <c r="L22" s="288">
        <v>305910</v>
      </c>
      <c r="M22" s="289">
        <v>353974</v>
      </c>
      <c r="N22" s="287">
        <v>384765</v>
      </c>
      <c r="O22" s="288">
        <v>434790</v>
      </c>
      <c r="P22" s="288">
        <v>1133161</v>
      </c>
      <c r="Q22" s="289">
        <v>656280</v>
      </c>
      <c r="R22" s="287">
        <v>773523</v>
      </c>
      <c r="S22" s="288">
        <v>593688</v>
      </c>
      <c r="T22" s="288">
        <v>2590055</v>
      </c>
      <c r="U22" s="289">
        <v>2001500</v>
      </c>
      <c r="V22" s="287">
        <v>179782</v>
      </c>
      <c r="W22" s="288">
        <v>110615</v>
      </c>
      <c r="X22" s="288">
        <v>390928</v>
      </c>
      <c r="Y22" s="289">
        <v>248660</v>
      </c>
      <c r="Z22" s="287">
        <v>249909</v>
      </c>
      <c r="AA22" s="288">
        <v>-105318</v>
      </c>
      <c r="AB22" s="288">
        <v>713690</v>
      </c>
      <c r="AC22" s="289">
        <v>606273</v>
      </c>
      <c r="AD22" s="287">
        <v>130918</v>
      </c>
      <c r="AE22" s="288">
        <v>80609</v>
      </c>
      <c r="AF22" s="288">
        <v>333362</v>
      </c>
      <c r="AG22" s="289">
        <v>210237</v>
      </c>
      <c r="AH22" s="287">
        <v>78121</v>
      </c>
      <c r="AI22" s="288">
        <v>124873</v>
      </c>
      <c r="AJ22" s="288">
        <v>316169</v>
      </c>
      <c r="AK22" s="289">
        <v>402939</v>
      </c>
      <c r="AL22" s="287">
        <v>121670</v>
      </c>
      <c r="AM22" s="288">
        <v>99810</v>
      </c>
      <c r="AN22" s="288">
        <v>901900</v>
      </c>
      <c r="AO22" s="751">
        <v>1219147</v>
      </c>
      <c r="AP22" s="298">
        <v>3553118</v>
      </c>
      <c r="AQ22" s="288">
        <v>2593580</v>
      </c>
      <c r="AR22" s="288">
        <v>9836533</v>
      </c>
      <c r="AS22" s="751">
        <v>7159761</v>
      </c>
      <c r="AT22" s="298">
        <v>2797912</v>
      </c>
      <c r="AU22" s="288">
        <v>1229964</v>
      </c>
      <c r="AV22" s="288"/>
      <c r="AW22" s="751"/>
      <c r="AX22" s="755">
        <v>25898</v>
      </c>
      <c r="AY22" s="290">
        <v>55946</v>
      </c>
      <c r="AZ22" s="290">
        <v>233399</v>
      </c>
      <c r="BA22" s="750">
        <v>245006</v>
      </c>
      <c r="BB22" s="298">
        <v>291853</v>
      </c>
      <c r="BC22" s="288">
        <v>91651</v>
      </c>
      <c r="BD22" s="288">
        <v>464110</v>
      </c>
      <c r="BE22" s="289">
        <v>214634</v>
      </c>
      <c r="BF22" s="287">
        <v>139869</v>
      </c>
      <c r="BG22" s="288">
        <v>-69555</v>
      </c>
      <c r="BH22" s="288">
        <v>799493</v>
      </c>
      <c r="BI22" s="289">
        <v>637170</v>
      </c>
      <c r="BJ22" s="287">
        <v>1433173</v>
      </c>
      <c r="BK22" s="288">
        <v>611220</v>
      </c>
      <c r="BL22" s="288">
        <v>2703657</v>
      </c>
      <c r="BM22" s="289">
        <v>2142717</v>
      </c>
      <c r="BN22" s="287">
        <v>177810</v>
      </c>
      <c r="BO22" s="288">
        <v>87421</v>
      </c>
      <c r="BP22" s="288">
        <v>378157</v>
      </c>
      <c r="BQ22" s="289">
        <v>229188</v>
      </c>
      <c r="BR22" s="287">
        <v>-42281</v>
      </c>
      <c r="BS22" s="288">
        <v>152938</v>
      </c>
      <c r="BT22" s="288">
        <v>708057</v>
      </c>
      <c r="BU22" s="289">
        <v>434820</v>
      </c>
      <c r="BV22" s="291"/>
      <c r="BW22" s="288"/>
      <c r="BX22" s="288"/>
      <c r="BY22" s="289"/>
      <c r="BZ22" s="1520">
        <v>362121</v>
      </c>
      <c r="CA22" s="1521">
        <v>274864</v>
      </c>
      <c r="CB22" s="1521">
        <v>811463</v>
      </c>
      <c r="CC22" s="1522">
        <v>817063</v>
      </c>
      <c r="CD22" s="757">
        <v>109176</v>
      </c>
      <c r="CE22" s="293">
        <v>93736</v>
      </c>
      <c r="CF22" s="293">
        <v>264704</v>
      </c>
      <c r="CG22" s="294">
        <v>319838</v>
      </c>
      <c r="CH22" s="295">
        <v>83238</v>
      </c>
      <c r="CI22" s="296">
        <v>19548</v>
      </c>
      <c r="CJ22" s="296">
        <v>230508</v>
      </c>
      <c r="CK22" s="297">
        <v>156081</v>
      </c>
      <c r="CL22" s="298">
        <v>775694</v>
      </c>
      <c r="CM22" s="288">
        <v>213565</v>
      </c>
      <c r="CN22" s="288">
        <v>1713655</v>
      </c>
      <c r="CO22" s="289">
        <v>639344</v>
      </c>
      <c r="CP22" s="299">
        <f t="shared" si="2"/>
        <v>12424389</v>
      </c>
      <c r="CQ22" s="299">
        <f t="shared" si="2"/>
        <v>7170530</v>
      </c>
      <c r="CR22" s="299">
        <f t="shared" si="2"/>
        <v>26645662</v>
      </c>
      <c r="CS22" s="1109">
        <f t="shared" si="2"/>
        <v>19745568</v>
      </c>
      <c r="CT22" s="295">
        <v>1647435</v>
      </c>
      <c r="CU22" s="296">
        <v>2924307</v>
      </c>
      <c r="CV22" s="296">
        <v>4022694</v>
      </c>
      <c r="CW22" s="1108">
        <v>5055198</v>
      </c>
      <c r="CX22" s="299">
        <f t="shared" si="3"/>
        <v>14071824</v>
      </c>
      <c r="CY22" s="299">
        <f t="shared" si="3"/>
        <v>10094837</v>
      </c>
      <c r="CZ22" s="299">
        <f t="shared" si="3"/>
        <v>30668356</v>
      </c>
      <c r="DA22" s="300">
        <f t="shared" si="3"/>
        <v>24800766</v>
      </c>
    </row>
    <row r="23" spans="1:105" ht="16.5">
      <c r="A23" s="283" t="s">
        <v>98</v>
      </c>
      <c r="B23" s="284">
        <v>25956</v>
      </c>
      <c r="C23" s="285">
        <v>7619</v>
      </c>
      <c r="D23" s="285">
        <v>90800</v>
      </c>
      <c r="E23" s="286">
        <v>58338</v>
      </c>
      <c r="F23" s="287">
        <v>4359</v>
      </c>
      <c r="G23" s="288">
        <v>2648</v>
      </c>
      <c r="H23" s="288">
        <v>27260</v>
      </c>
      <c r="I23" s="289">
        <v>28408</v>
      </c>
      <c r="J23" s="287">
        <v>7202</v>
      </c>
      <c r="K23" s="288">
        <v>9079</v>
      </c>
      <c r="L23" s="288">
        <v>27771</v>
      </c>
      <c r="M23" s="289">
        <v>30014</v>
      </c>
      <c r="N23" s="287">
        <v>31024</v>
      </c>
      <c r="O23" s="288">
        <v>24232</v>
      </c>
      <c r="P23" s="288">
        <v>68111</v>
      </c>
      <c r="Q23" s="289">
        <v>73364</v>
      </c>
      <c r="R23" s="287">
        <v>10600</v>
      </c>
      <c r="S23" s="288">
        <v>7023</v>
      </c>
      <c r="T23" s="288">
        <v>33001</v>
      </c>
      <c r="U23" s="289">
        <v>21817</v>
      </c>
      <c r="V23" s="287">
        <v>15538</v>
      </c>
      <c r="W23" s="288">
        <v>11248</v>
      </c>
      <c r="X23" s="288">
        <v>46748</v>
      </c>
      <c r="Y23" s="289">
        <v>39574</v>
      </c>
      <c r="Z23" s="287">
        <v>4202</v>
      </c>
      <c r="AA23" s="288">
        <v>4328</v>
      </c>
      <c r="AB23" s="288">
        <v>16373</v>
      </c>
      <c r="AC23" s="289">
        <v>15113</v>
      </c>
      <c r="AD23" s="287">
        <v>5942</v>
      </c>
      <c r="AE23" s="288">
        <v>4346</v>
      </c>
      <c r="AF23" s="288">
        <v>17103</v>
      </c>
      <c r="AG23" s="289">
        <v>10462</v>
      </c>
      <c r="AH23" s="287">
        <v>20198</v>
      </c>
      <c r="AI23" s="288">
        <v>19391</v>
      </c>
      <c r="AJ23" s="288">
        <v>71777</v>
      </c>
      <c r="AK23" s="289">
        <v>61462</v>
      </c>
      <c r="AL23" s="287">
        <v>2546</v>
      </c>
      <c r="AM23" s="288">
        <v>2278</v>
      </c>
      <c r="AN23" s="288">
        <v>8865</v>
      </c>
      <c r="AO23" s="751">
        <v>11521</v>
      </c>
      <c r="AP23" s="298">
        <v>49616</v>
      </c>
      <c r="AQ23" s="288">
        <v>39231</v>
      </c>
      <c r="AR23" s="288">
        <v>134412</v>
      </c>
      <c r="AS23" s="751">
        <v>107567</v>
      </c>
      <c r="AT23" s="298">
        <v>70446</v>
      </c>
      <c r="AU23" s="288">
        <v>59138</v>
      </c>
      <c r="AV23" s="288"/>
      <c r="AW23" s="751"/>
      <c r="AX23" s="755">
        <v>6534</v>
      </c>
      <c r="AY23" s="290">
        <v>3310</v>
      </c>
      <c r="AZ23" s="290">
        <v>15958</v>
      </c>
      <c r="BA23" s="750">
        <v>11096</v>
      </c>
      <c r="BB23" s="298">
        <v>7850</v>
      </c>
      <c r="BC23" s="288">
        <v>4569</v>
      </c>
      <c r="BD23" s="288">
        <v>19267</v>
      </c>
      <c r="BE23" s="289">
        <v>14018</v>
      </c>
      <c r="BF23" s="287">
        <v>31800</v>
      </c>
      <c r="BG23" s="288">
        <v>6238</v>
      </c>
      <c r="BH23" s="288">
        <v>62123</v>
      </c>
      <c r="BI23" s="289">
        <v>34628</v>
      </c>
      <c r="BJ23" s="857">
        <v>36406</v>
      </c>
      <c r="BK23" s="858">
        <v>37511</v>
      </c>
      <c r="BL23" s="858">
        <v>117673</v>
      </c>
      <c r="BM23" s="289">
        <v>109202</v>
      </c>
      <c r="BN23" s="287">
        <v>22161</v>
      </c>
      <c r="BO23" s="288">
        <v>21553</v>
      </c>
      <c r="BP23" s="288">
        <v>71905</v>
      </c>
      <c r="BQ23" s="289">
        <v>73400</v>
      </c>
      <c r="BR23" s="287">
        <v>25992</v>
      </c>
      <c r="BS23" s="288">
        <v>22798</v>
      </c>
      <c r="BT23" s="288">
        <v>81138</v>
      </c>
      <c r="BU23" s="289">
        <v>79058</v>
      </c>
      <c r="BV23" s="291"/>
      <c r="BW23" s="288"/>
      <c r="BX23" s="288"/>
      <c r="BY23" s="289"/>
      <c r="BZ23" s="1520">
        <v>25974</v>
      </c>
      <c r="CA23" s="1521">
        <v>14655</v>
      </c>
      <c r="CB23" s="1521">
        <v>76711</v>
      </c>
      <c r="CC23" s="1522">
        <v>60611</v>
      </c>
      <c r="CD23" s="757">
        <v>3124</v>
      </c>
      <c r="CE23" s="293">
        <v>2241</v>
      </c>
      <c r="CF23" s="293">
        <v>12693</v>
      </c>
      <c r="CG23" s="294">
        <v>13162</v>
      </c>
      <c r="CH23" s="295">
        <v>1687</v>
      </c>
      <c r="CI23" s="296">
        <v>1030</v>
      </c>
      <c r="CJ23" s="296">
        <v>3778</v>
      </c>
      <c r="CK23" s="297">
        <v>2896</v>
      </c>
      <c r="CL23" s="298">
        <v>33381</v>
      </c>
      <c r="CM23" s="288">
        <v>14066</v>
      </c>
      <c r="CN23" s="288">
        <v>84049</v>
      </c>
      <c r="CO23" s="289">
        <v>40677</v>
      </c>
      <c r="CP23" s="299">
        <f t="shared" si="2"/>
        <v>442538</v>
      </c>
      <c r="CQ23" s="299">
        <f t="shared" si="2"/>
        <v>318532</v>
      </c>
      <c r="CR23" s="299">
        <f t="shared" si="2"/>
        <v>1087516</v>
      </c>
      <c r="CS23" s="1109">
        <f t="shared" si="2"/>
        <v>896388</v>
      </c>
      <c r="CT23" s="295">
        <v>176586</v>
      </c>
      <c r="CU23" s="296">
        <v>177001</v>
      </c>
      <c r="CV23" s="296">
        <v>392324</v>
      </c>
      <c r="CW23" s="1108">
        <v>460201</v>
      </c>
      <c r="CX23" s="299">
        <f t="shared" si="3"/>
        <v>619124</v>
      </c>
      <c r="CY23" s="299">
        <f t="shared" si="3"/>
        <v>495533</v>
      </c>
      <c r="CZ23" s="299">
        <f t="shared" si="3"/>
        <v>1479840</v>
      </c>
      <c r="DA23" s="300">
        <f t="shared" si="3"/>
        <v>1356589</v>
      </c>
    </row>
    <row r="24" spans="1:105" ht="16.5">
      <c r="A24" s="283" t="s">
        <v>99</v>
      </c>
      <c r="B24" s="284">
        <v>4407</v>
      </c>
      <c r="C24" s="285">
        <v>7011</v>
      </c>
      <c r="D24" s="285">
        <v>-5631</v>
      </c>
      <c r="E24" s="286">
        <v>19487</v>
      </c>
      <c r="F24" s="287"/>
      <c r="G24" s="288"/>
      <c r="H24" s="288"/>
      <c r="I24" s="289"/>
      <c r="J24" s="287"/>
      <c r="K24" s="288"/>
      <c r="L24" s="288"/>
      <c r="M24" s="289"/>
      <c r="N24" s="287"/>
      <c r="O24" s="288"/>
      <c r="P24" s="288"/>
      <c r="Q24" s="289"/>
      <c r="R24" s="287">
        <v>147347</v>
      </c>
      <c r="S24" s="288">
        <v>223204</v>
      </c>
      <c r="T24" s="288">
        <v>485759</v>
      </c>
      <c r="U24" s="289">
        <v>458794</v>
      </c>
      <c r="V24" s="287"/>
      <c r="W24" s="288"/>
      <c r="X24" s="288"/>
      <c r="Y24" s="289"/>
      <c r="Z24" s="287">
        <v>-1631</v>
      </c>
      <c r="AA24" s="288">
        <v>2227</v>
      </c>
      <c r="AB24" s="288">
        <v>18587</v>
      </c>
      <c r="AC24" s="289">
        <v>23164</v>
      </c>
      <c r="AD24" s="287"/>
      <c r="AE24" s="288"/>
      <c r="AF24" s="288"/>
      <c r="AG24" s="289"/>
      <c r="AH24" s="287">
        <v>-42188</v>
      </c>
      <c r="AI24" s="288">
        <v>10391</v>
      </c>
      <c r="AJ24" s="288">
        <v>16363</v>
      </c>
      <c r="AK24" s="289">
        <v>27094</v>
      </c>
      <c r="AL24" s="287"/>
      <c r="AM24" s="288"/>
      <c r="AN24" s="288"/>
      <c r="AO24" s="751"/>
      <c r="AP24" s="298"/>
      <c r="AQ24" s="288"/>
      <c r="AR24" s="288"/>
      <c r="AS24" s="751"/>
      <c r="AT24" s="298"/>
      <c r="AU24" s="288"/>
      <c r="AV24" s="288"/>
      <c r="AW24" s="751"/>
      <c r="AX24" s="755"/>
      <c r="AY24" s="290"/>
      <c r="AZ24" s="290"/>
      <c r="BA24" s="750"/>
      <c r="BB24" s="298"/>
      <c r="BC24" s="288"/>
      <c r="BD24" s="288"/>
      <c r="BE24" s="289"/>
      <c r="BF24" s="287"/>
      <c r="BG24" s="288"/>
      <c r="BH24" s="288"/>
      <c r="BI24" s="289"/>
      <c r="BJ24" s="287">
        <v>81541</v>
      </c>
      <c r="BK24" s="288">
        <v>25965</v>
      </c>
      <c r="BL24" s="288">
        <v>238627</v>
      </c>
      <c r="BM24" s="289">
        <v>159906</v>
      </c>
      <c r="BN24" s="287">
        <v>19660</v>
      </c>
      <c r="BO24" s="288">
        <v>9778</v>
      </c>
      <c r="BP24" s="288">
        <v>64272</v>
      </c>
      <c r="BQ24" s="289">
        <v>70561</v>
      </c>
      <c r="BR24" s="287"/>
      <c r="BS24" s="288"/>
      <c r="BT24" s="288"/>
      <c r="BU24" s="289"/>
      <c r="BV24" s="291"/>
      <c r="BW24" s="288"/>
      <c r="BX24" s="288"/>
      <c r="BY24" s="289"/>
      <c r="BZ24" s="1520">
        <v>4934</v>
      </c>
      <c r="CA24" s="1521">
        <v>2421</v>
      </c>
      <c r="CB24" s="1521">
        <v>14968</v>
      </c>
      <c r="CC24" s="1522">
        <v>9469</v>
      </c>
      <c r="CD24" s="757"/>
      <c r="CE24" s="293"/>
      <c r="CF24" s="293"/>
      <c r="CG24" s="294"/>
      <c r="CH24" s="295"/>
      <c r="CI24" s="296"/>
      <c r="CJ24" s="296"/>
      <c r="CK24" s="297"/>
      <c r="CL24" s="298"/>
      <c r="CM24" s="288"/>
      <c r="CN24" s="288"/>
      <c r="CO24" s="289"/>
      <c r="CP24" s="299">
        <f t="shared" si="2"/>
        <v>214070</v>
      </c>
      <c r="CQ24" s="299">
        <f t="shared" si="2"/>
        <v>280997</v>
      </c>
      <c r="CR24" s="299">
        <f t="shared" si="2"/>
        <v>832945</v>
      </c>
      <c r="CS24" s="1109">
        <f t="shared" si="2"/>
        <v>768475</v>
      </c>
      <c r="CT24" s="295"/>
      <c r="CU24" s="296"/>
      <c r="CV24" s="296"/>
      <c r="CW24" s="1108"/>
      <c r="CX24" s="299">
        <f t="shared" si="3"/>
        <v>214070</v>
      </c>
      <c r="CY24" s="299">
        <f t="shared" si="3"/>
        <v>280997</v>
      </c>
      <c r="CZ24" s="299">
        <f t="shared" si="3"/>
        <v>832945</v>
      </c>
      <c r="DA24" s="300">
        <f t="shared" si="3"/>
        <v>768475</v>
      </c>
    </row>
    <row r="25" spans="1:105" ht="16.5">
      <c r="A25" s="283" t="s">
        <v>100</v>
      </c>
      <c r="B25" s="284">
        <v>187727</v>
      </c>
      <c r="C25" s="285">
        <v>164996</v>
      </c>
      <c r="D25" s="285">
        <v>663927</v>
      </c>
      <c r="E25" s="286">
        <v>595544</v>
      </c>
      <c r="F25" s="287">
        <v>61546</v>
      </c>
      <c r="G25" s="288">
        <v>57289</v>
      </c>
      <c r="H25" s="288">
        <v>241545</v>
      </c>
      <c r="I25" s="289">
        <v>213393</v>
      </c>
      <c r="J25" s="287">
        <v>42318</v>
      </c>
      <c r="K25" s="288">
        <v>39994</v>
      </c>
      <c r="L25" s="288">
        <v>190745</v>
      </c>
      <c r="M25" s="289">
        <v>160678</v>
      </c>
      <c r="N25" s="287">
        <v>113652</v>
      </c>
      <c r="O25" s="288">
        <v>241276</v>
      </c>
      <c r="P25" s="288">
        <v>638948</v>
      </c>
      <c r="Q25" s="289">
        <v>635010</v>
      </c>
      <c r="R25" s="287">
        <v>118552</v>
      </c>
      <c r="S25" s="288">
        <v>144903</v>
      </c>
      <c r="T25" s="288">
        <v>384132</v>
      </c>
      <c r="U25" s="289">
        <v>429488</v>
      </c>
      <c r="V25" s="287">
        <v>93464</v>
      </c>
      <c r="W25" s="288">
        <v>66598</v>
      </c>
      <c r="X25" s="288">
        <v>287405</v>
      </c>
      <c r="Y25" s="289">
        <v>268014</v>
      </c>
      <c r="Z25" s="287">
        <v>38406</v>
      </c>
      <c r="AA25" s="288">
        <v>69649</v>
      </c>
      <c r="AB25" s="288">
        <v>143179</v>
      </c>
      <c r="AC25" s="289">
        <v>177203</v>
      </c>
      <c r="AD25" s="287">
        <v>44408</v>
      </c>
      <c r="AE25" s="288">
        <v>33070</v>
      </c>
      <c r="AF25" s="288">
        <v>146754</v>
      </c>
      <c r="AG25" s="289">
        <v>92593</v>
      </c>
      <c r="AH25" s="287"/>
      <c r="AI25" s="288"/>
      <c r="AJ25" s="288"/>
      <c r="AK25" s="289"/>
      <c r="AL25" s="287">
        <v>25278</v>
      </c>
      <c r="AM25" s="288">
        <v>7934</v>
      </c>
      <c r="AN25" s="288">
        <v>91836</v>
      </c>
      <c r="AO25" s="751">
        <v>91560</v>
      </c>
      <c r="AP25" s="298">
        <v>304474</v>
      </c>
      <c r="AQ25" s="288">
        <v>268002</v>
      </c>
      <c r="AR25" s="288">
        <v>1126869</v>
      </c>
      <c r="AS25" s="751">
        <v>867744</v>
      </c>
      <c r="AT25" s="298">
        <v>49320</v>
      </c>
      <c r="AU25" s="288">
        <v>60185</v>
      </c>
      <c r="AV25" s="288">
        <v>240025</v>
      </c>
      <c r="AW25" s="751">
        <v>250460</v>
      </c>
      <c r="AX25" s="755">
        <v>28618</v>
      </c>
      <c r="AY25" s="290">
        <v>29724</v>
      </c>
      <c r="AZ25" s="290">
        <v>131544</v>
      </c>
      <c r="BA25" s="750">
        <v>119373</v>
      </c>
      <c r="BB25" s="298">
        <v>92027</v>
      </c>
      <c r="BC25" s="288">
        <v>81638</v>
      </c>
      <c r="BD25" s="288">
        <v>317341</v>
      </c>
      <c r="BE25" s="289">
        <v>307566</v>
      </c>
      <c r="BF25" s="857">
        <v>75097</v>
      </c>
      <c r="BG25" s="858">
        <v>62412</v>
      </c>
      <c r="BH25" s="858">
        <v>246770</v>
      </c>
      <c r="BI25" s="1535">
        <v>239152</v>
      </c>
      <c r="BJ25" s="287">
        <v>122304</v>
      </c>
      <c r="BK25" s="288">
        <v>144321</v>
      </c>
      <c r="BL25" s="288">
        <v>542774</v>
      </c>
      <c r="BM25" s="289">
        <v>428560</v>
      </c>
      <c r="BN25" s="287">
        <v>87701</v>
      </c>
      <c r="BO25" s="288">
        <v>46358</v>
      </c>
      <c r="BP25" s="288">
        <v>321381</v>
      </c>
      <c r="BQ25" s="289">
        <v>238339</v>
      </c>
      <c r="BR25" s="287">
        <v>61345</v>
      </c>
      <c r="BS25" s="288">
        <v>73607</v>
      </c>
      <c r="BT25" s="288">
        <v>293722</v>
      </c>
      <c r="BU25" s="289">
        <v>289086</v>
      </c>
      <c r="BV25" s="291"/>
      <c r="BW25" s="288"/>
      <c r="BX25" s="288"/>
      <c r="BY25" s="289"/>
      <c r="BZ25" s="1520">
        <v>194906</v>
      </c>
      <c r="CA25" s="1521">
        <v>187819</v>
      </c>
      <c r="CB25" s="1521">
        <v>651310</v>
      </c>
      <c r="CC25" s="1522">
        <v>541653</v>
      </c>
      <c r="CD25" s="757">
        <v>111600</v>
      </c>
      <c r="CE25" s="293">
        <v>15750</v>
      </c>
      <c r="CF25" s="293">
        <v>176400</v>
      </c>
      <c r="CG25" s="294">
        <v>63000</v>
      </c>
      <c r="CH25" s="295">
        <v>45545</v>
      </c>
      <c r="CI25" s="296">
        <v>33904</v>
      </c>
      <c r="CJ25" s="296">
        <v>149073</v>
      </c>
      <c r="CK25" s="297">
        <v>148064</v>
      </c>
      <c r="CL25" s="298">
        <v>120075</v>
      </c>
      <c r="CM25" s="288">
        <v>94883</v>
      </c>
      <c r="CN25" s="288">
        <v>464764</v>
      </c>
      <c r="CO25" s="289">
        <v>364869</v>
      </c>
      <c r="CP25" s="284">
        <f t="shared" si="2"/>
        <v>2018363</v>
      </c>
      <c r="CQ25" s="284">
        <f t="shared" si="2"/>
        <v>1924312</v>
      </c>
      <c r="CR25" s="284">
        <f t="shared" si="2"/>
        <v>7450444</v>
      </c>
      <c r="CS25" s="1467">
        <f t="shared" si="2"/>
        <v>6521349</v>
      </c>
      <c r="CT25" s="298"/>
      <c r="CU25" s="288"/>
      <c r="CV25" s="288"/>
      <c r="CW25" s="751"/>
      <c r="CX25" s="284">
        <f t="shared" si="3"/>
        <v>2018363</v>
      </c>
      <c r="CY25" s="284">
        <f t="shared" si="3"/>
        <v>1924312</v>
      </c>
      <c r="CZ25" s="284">
        <f t="shared" si="3"/>
        <v>7450444</v>
      </c>
      <c r="DA25" s="1471">
        <f t="shared" si="3"/>
        <v>6521349</v>
      </c>
    </row>
    <row r="26" spans="1:105" ht="16.5">
      <c r="A26" s="283" t="s">
        <v>101</v>
      </c>
      <c r="B26" s="284"/>
      <c r="C26" s="285"/>
      <c r="D26" s="285"/>
      <c r="E26" s="286"/>
      <c r="F26" s="287">
        <v>1457</v>
      </c>
      <c r="G26" s="288">
        <v>1016</v>
      </c>
      <c r="H26" s="288">
        <v>1896</v>
      </c>
      <c r="I26" s="289">
        <v>3561</v>
      </c>
      <c r="J26" s="287">
        <v>19158</v>
      </c>
      <c r="K26" s="288">
        <v>8033</v>
      </c>
      <c r="L26" s="288">
        <v>19159</v>
      </c>
      <c r="M26" s="289">
        <v>19337</v>
      </c>
      <c r="N26" s="287"/>
      <c r="O26" s="288"/>
      <c r="P26" s="288"/>
      <c r="Q26" s="289"/>
      <c r="R26" s="287"/>
      <c r="S26" s="288">
        <v>-4</v>
      </c>
      <c r="T26" s="288"/>
      <c r="U26" s="289">
        <v>6417</v>
      </c>
      <c r="V26" s="287"/>
      <c r="W26" s="288"/>
      <c r="X26" s="288"/>
      <c r="Y26" s="289"/>
      <c r="Z26" s="287"/>
      <c r="AA26" s="288"/>
      <c r="AB26" s="288"/>
      <c r="AC26" s="289"/>
      <c r="AD26" s="287">
        <v>4244</v>
      </c>
      <c r="AE26" s="288">
        <v>4853</v>
      </c>
      <c r="AF26" s="288">
        <v>8433</v>
      </c>
      <c r="AG26" s="289">
        <v>9717</v>
      </c>
      <c r="AH26" s="287">
        <f>2336+9455</f>
        <v>11791</v>
      </c>
      <c r="AI26" s="288">
        <f>-69+231</f>
        <v>162</v>
      </c>
      <c r="AJ26" s="288">
        <f>2336+9455</f>
        <v>11791</v>
      </c>
      <c r="AK26" s="289">
        <f>1533+9300</f>
        <v>10833</v>
      </c>
      <c r="AL26" s="287">
        <v>1823</v>
      </c>
      <c r="AM26" s="288">
        <v>2413</v>
      </c>
      <c r="AN26" s="288">
        <v>5403</v>
      </c>
      <c r="AO26" s="751">
        <v>14949</v>
      </c>
      <c r="AP26" s="298">
        <v>15278</v>
      </c>
      <c r="AQ26" s="288">
        <v>27527</v>
      </c>
      <c r="AR26" s="288">
        <v>28143</v>
      </c>
      <c r="AS26" s="751">
        <v>79559</v>
      </c>
      <c r="AT26" s="298">
        <v>6100</v>
      </c>
      <c r="AU26" s="288">
        <v>56182</v>
      </c>
      <c r="AV26" s="288">
        <v>-138075</v>
      </c>
      <c r="AW26" s="751"/>
      <c r="AX26" s="755"/>
      <c r="AY26" s="290"/>
      <c r="AZ26" s="290"/>
      <c r="BA26" s="750"/>
      <c r="BB26" s="298"/>
      <c r="BC26" s="288"/>
      <c r="BD26" s="288"/>
      <c r="BE26" s="289"/>
      <c r="BF26" s="287">
        <v>23933</v>
      </c>
      <c r="BG26" s="288">
        <v>30036</v>
      </c>
      <c r="BH26" s="288">
        <v>60199</v>
      </c>
      <c r="BI26" s="289">
        <v>46784</v>
      </c>
      <c r="BJ26" s="757">
        <f>6246+14054</f>
        <v>20300</v>
      </c>
      <c r="BK26" s="293">
        <f>23536+11699</f>
        <v>35235</v>
      </c>
      <c r="BL26" s="293">
        <f>53125+32930</f>
        <v>86055</v>
      </c>
      <c r="BM26" s="289">
        <f>100227+169759</f>
        <v>269986</v>
      </c>
      <c r="BN26" s="287"/>
      <c r="BO26" s="288"/>
      <c r="BP26" s="288"/>
      <c r="BQ26" s="289"/>
      <c r="BR26" s="287"/>
      <c r="BS26" s="288"/>
      <c r="BT26" s="288"/>
      <c r="BU26" s="289"/>
      <c r="BV26" s="291"/>
      <c r="BW26" s="288"/>
      <c r="BX26" s="288"/>
      <c r="BY26" s="289"/>
      <c r="BZ26" s="1520">
        <v>13834</v>
      </c>
      <c r="CA26" s="1521">
        <v>909</v>
      </c>
      <c r="CB26" s="1521">
        <v>107399</v>
      </c>
      <c r="CC26" s="1522">
        <v>25296</v>
      </c>
      <c r="CD26" s="757">
        <v>452</v>
      </c>
      <c r="CE26" s="293">
        <v>-12923</v>
      </c>
      <c r="CF26" s="293">
        <v>4800</v>
      </c>
      <c r="CG26" s="294">
        <v>11772</v>
      </c>
      <c r="CH26" s="295">
        <v>35524</v>
      </c>
      <c r="CI26" s="296">
        <v>8400</v>
      </c>
      <c r="CJ26" s="296">
        <v>43788</v>
      </c>
      <c r="CK26" s="297">
        <v>9436</v>
      </c>
      <c r="CL26" s="298"/>
      <c r="CM26" s="288"/>
      <c r="CN26" s="288"/>
      <c r="CO26" s="289"/>
      <c r="CP26" s="299">
        <f t="shared" si="2"/>
        <v>153894</v>
      </c>
      <c r="CQ26" s="299">
        <f t="shared" si="2"/>
        <v>161839</v>
      </c>
      <c r="CR26" s="299">
        <f t="shared" si="2"/>
        <v>238991</v>
      </c>
      <c r="CS26" s="1109">
        <f t="shared" si="2"/>
        <v>507647</v>
      </c>
      <c r="CT26" s="295">
        <v>9778600</v>
      </c>
      <c r="CU26" s="296">
        <v>10644988</v>
      </c>
      <c r="CV26" s="296">
        <v>30915717</v>
      </c>
      <c r="CW26" s="1108">
        <v>30576682</v>
      </c>
      <c r="CX26" s="299">
        <f t="shared" si="3"/>
        <v>9932494</v>
      </c>
      <c r="CY26" s="299">
        <f t="shared" si="3"/>
        <v>10806827</v>
      </c>
      <c r="CZ26" s="299">
        <f t="shared" si="3"/>
        <v>31154708</v>
      </c>
      <c r="DA26" s="300">
        <f t="shared" si="3"/>
        <v>31084329</v>
      </c>
    </row>
    <row r="27" spans="1:105" ht="16.5">
      <c r="A27" s="283" t="s">
        <v>102</v>
      </c>
      <c r="B27" s="284">
        <v>91344</v>
      </c>
      <c r="C27" s="285">
        <v>72975</v>
      </c>
      <c r="D27" s="285">
        <v>330585</v>
      </c>
      <c r="E27" s="286">
        <v>214876</v>
      </c>
      <c r="F27" s="287">
        <v>24390</v>
      </c>
      <c r="G27" s="288">
        <v>28340</v>
      </c>
      <c r="H27" s="288">
        <v>83460</v>
      </c>
      <c r="I27" s="289">
        <v>76709</v>
      </c>
      <c r="J27" s="287"/>
      <c r="K27" s="288"/>
      <c r="L27" s="288"/>
      <c r="M27" s="289"/>
      <c r="N27" s="287">
        <v>121712</v>
      </c>
      <c r="O27" s="288">
        <v>146087</v>
      </c>
      <c r="P27" s="288">
        <v>375570</v>
      </c>
      <c r="Q27" s="289">
        <v>396982</v>
      </c>
      <c r="R27" s="287">
        <v>29623</v>
      </c>
      <c r="S27" s="288">
        <v>23535</v>
      </c>
      <c r="T27" s="288">
        <v>87359</v>
      </c>
      <c r="U27" s="289">
        <v>102849</v>
      </c>
      <c r="V27" s="287"/>
      <c r="W27" s="288"/>
      <c r="X27" s="288"/>
      <c r="Y27" s="289"/>
      <c r="Z27" s="287">
        <v>49583</v>
      </c>
      <c r="AA27" s="288">
        <v>77137</v>
      </c>
      <c r="AB27" s="288">
        <v>195025</v>
      </c>
      <c r="AC27" s="289">
        <v>270919</v>
      </c>
      <c r="AD27" s="287">
        <v>22037</v>
      </c>
      <c r="AE27" s="288">
        <v>13596</v>
      </c>
      <c r="AF27" s="288">
        <v>52223</v>
      </c>
      <c r="AG27" s="289">
        <v>44763</v>
      </c>
      <c r="AH27" s="287"/>
      <c r="AI27" s="288"/>
      <c r="AJ27" s="288"/>
      <c r="AK27" s="289"/>
      <c r="AL27" s="287"/>
      <c r="AM27" s="288"/>
      <c r="AN27" s="288"/>
      <c r="AO27" s="751"/>
      <c r="AP27" s="298">
        <v>368586</v>
      </c>
      <c r="AQ27" s="288">
        <v>264823</v>
      </c>
      <c r="AR27" s="288">
        <v>1036102</v>
      </c>
      <c r="AS27" s="751">
        <v>823526</v>
      </c>
      <c r="AT27" s="298"/>
      <c r="AU27" s="288"/>
      <c r="AV27" s="288"/>
      <c r="AW27" s="751"/>
      <c r="AX27" s="755">
        <v>10237</v>
      </c>
      <c r="AY27" s="290">
        <v>8425</v>
      </c>
      <c r="AZ27" s="290">
        <v>29234</v>
      </c>
      <c r="BA27" s="750">
        <v>28156</v>
      </c>
      <c r="BB27" s="298">
        <v>12919</v>
      </c>
      <c r="BC27" s="288">
        <v>13224</v>
      </c>
      <c r="BD27" s="288">
        <v>61335</v>
      </c>
      <c r="BE27" s="289">
        <v>66490</v>
      </c>
      <c r="BF27" s="287">
        <v>117226</v>
      </c>
      <c r="BG27" s="288">
        <v>98624</v>
      </c>
      <c r="BH27" s="288">
        <v>400154</v>
      </c>
      <c r="BI27" s="289">
        <v>304164</v>
      </c>
      <c r="BJ27" s="757">
        <v>370115</v>
      </c>
      <c r="BK27" s="293">
        <v>229534</v>
      </c>
      <c r="BL27" s="293">
        <v>1131909</v>
      </c>
      <c r="BM27" s="289">
        <v>725214</v>
      </c>
      <c r="BN27" s="287"/>
      <c r="BO27" s="288"/>
      <c r="BP27" s="288"/>
      <c r="BQ27" s="289"/>
      <c r="BR27" s="287">
        <v>8802</v>
      </c>
      <c r="BS27" s="288">
        <v>12224</v>
      </c>
      <c r="BT27" s="288">
        <v>38235</v>
      </c>
      <c r="BU27" s="289">
        <v>31607</v>
      </c>
      <c r="BV27" s="291"/>
      <c r="BW27" s="288"/>
      <c r="BX27" s="288"/>
      <c r="BY27" s="289"/>
      <c r="BZ27" s="1520">
        <v>223163</v>
      </c>
      <c r="CA27" s="1521">
        <v>175502</v>
      </c>
      <c r="CB27" s="1521">
        <v>625263</v>
      </c>
      <c r="CC27" s="1522">
        <v>552192</v>
      </c>
      <c r="CD27" s="757"/>
      <c r="CE27" s="293"/>
      <c r="CF27" s="293"/>
      <c r="CG27" s="294"/>
      <c r="CH27" s="295">
        <v>8831</v>
      </c>
      <c r="CI27" s="296">
        <v>8763</v>
      </c>
      <c r="CJ27" s="296">
        <v>29762</v>
      </c>
      <c r="CK27" s="297">
        <v>29920</v>
      </c>
      <c r="CL27" s="298">
        <v>112631</v>
      </c>
      <c r="CM27" s="288">
        <v>45734</v>
      </c>
      <c r="CN27" s="288">
        <v>297601</v>
      </c>
      <c r="CO27" s="289">
        <v>157282</v>
      </c>
      <c r="CP27" s="299">
        <f t="shared" si="2"/>
        <v>1571199</v>
      </c>
      <c r="CQ27" s="299">
        <f t="shared" si="2"/>
        <v>1218523</v>
      </c>
      <c r="CR27" s="299">
        <f t="shared" si="2"/>
        <v>4773817</v>
      </c>
      <c r="CS27" s="1109">
        <f t="shared" si="2"/>
        <v>3825649</v>
      </c>
      <c r="CT27" s="295">
        <v>563063</v>
      </c>
      <c r="CU27" s="296">
        <v>412872</v>
      </c>
      <c r="CV27" s="296">
        <v>2622935</v>
      </c>
      <c r="CW27" s="1108">
        <v>2108950</v>
      </c>
      <c r="CX27" s="299">
        <f t="shared" si="3"/>
        <v>2134262</v>
      </c>
      <c r="CY27" s="299">
        <f t="shared" si="3"/>
        <v>1631395</v>
      </c>
      <c r="CZ27" s="299">
        <f t="shared" si="3"/>
        <v>7396752</v>
      </c>
      <c r="DA27" s="300">
        <f t="shared" si="3"/>
        <v>5934599</v>
      </c>
    </row>
    <row r="28" spans="1:105" ht="16.5">
      <c r="A28" s="283" t="s">
        <v>103</v>
      </c>
      <c r="B28" s="284"/>
      <c r="C28" s="285"/>
      <c r="D28" s="285"/>
      <c r="E28" s="286"/>
      <c r="F28" s="287">
        <v>26623</v>
      </c>
      <c r="G28" s="288">
        <v>27155</v>
      </c>
      <c r="H28" s="288">
        <v>114714</v>
      </c>
      <c r="I28" s="289">
        <v>87973</v>
      </c>
      <c r="J28" s="287">
        <v>16385</v>
      </c>
      <c r="K28" s="288">
        <v>24893</v>
      </c>
      <c r="L28" s="288">
        <v>74883</v>
      </c>
      <c r="M28" s="289">
        <v>97309</v>
      </c>
      <c r="N28" s="287">
        <v>92562</v>
      </c>
      <c r="O28" s="288">
        <v>62316</v>
      </c>
      <c r="P28" s="288">
        <v>292081</v>
      </c>
      <c r="Q28" s="289">
        <v>229561</v>
      </c>
      <c r="R28" s="287">
        <v>45745</v>
      </c>
      <c r="S28" s="288">
        <v>22102</v>
      </c>
      <c r="T28" s="288">
        <v>129631</v>
      </c>
      <c r="U28" s="289">
        <v>73143</v>
      </c>
      <c r="V28" s="287">
        <v>16152</v>
      </c>
      <c r="W28" s="288">
        <v>13095</v>
      </c>
      <c r="X28" s="288">
        <v>66120</v>
      </c>
      <c r="Y28" s="289">
        <v>57681</v>
      </c>
      <c r="Z28" s="287">
        <v>46928</v>
      </c>
      <c r="AA28" s="288">
        <v>58585</v>
      </c>
      <c r="AB28" s="288">
        <v>188576</v>
      </c>
      <c r="AC28" s="289">
        <v>203234</v>
      </c>
      <c r="AD28" s="287">
        <v>68091</v>
      </c>
      <c r="AE28" s="288">
        <v>60556</v>
      </c>
      <c r="AF28" s="288">
        <v>235296</v>
      </c>
      <c r="AG28" s="289">
        <v>155509</v>
      </c>
      <c r="AH28" s="287">
        <v>45490</v>
      </c>
      <c r="AI28" s="288">
        <v>29225</v>
      </c>
      <c r="AJ28" s="288">
        <v>157816</v>
      </c>
      <c r="AK28" s="289">
        <v>99298</v>
      </c>
      <c r="AL28" s="287">
        <v>38808</v>
      </c>
      <c r="AM28" s="288">
        <v>38348</v>
      </c>
      <c r="AN28" s="288">
        <v>146441</v>
      </c>
      <c r="AO28" s="751">
        <v>144129</v>
      </c>
      <c r="AP28" s="298">
        <v>97616</v>
      </c>
      <c r="AQ28" s="288">
        <v>104975</v>
      </c>
      <c r="AR28" s="288">
        <v>405980</v>
      </c>
      <c r="AS28" s="751">
        <v>398445</v>
      </c>
      <c r="AT28" s="298">
        <v>158517</v>
      </c>
      <c r="AU28" s="288">
        <v>121938</v>
      </c>
      <c r="AV28" s="288">
        <v>567130</v>
      </c>
      <c r="AW28" s="751">
        <v>436760</v>
      </c>
      <c r="AX28" s="755">
        <v>27279</v>
      </c>
      <c r="AY28" s="290">
        <v>27812</v>
      </c>
      <c r="AZ28" s="290">
        <v>108877</v>
      </c>
      <c r="BA28" s="750">
        <v>105956</v>
      </c>
      <c r="BB28" s="298">
        <v>37823</v>
      </c>
      <c r="BC28" s="288">
        <v>33370</v>
      </c>
      <c r="BD28" s="288">
        <v>142921</v>
      </c>
      <c r="BE28" s="289">
        <v>111713</v>
      </c>
      <c r="BF28" s="287">
        <v>104658</v>
      </c>
      <c r="BG28" s="288">
        <v>81612</v>
      </c>
      <c r="BH28" s="288">
        <v>379989</v>
      </c>
      <c r="BI28" s="289">
        <v>305040</v>
      </c>
      <c r="BJ28" s="757">
        <v>116623</v>
      </c>
      <c r="BK28" s="293">
        <v>158012</v>
      </c>
      <c r="BL28" s="293">
        <v>707039</v>
      </c>
      <c r="BM28" s="289">
        <v>608542</v>
      </c>
      <c r="BN28" s="287">
        <v>62689</v>
      </c>
      <c r="BO28" s="288">
        <v>73691</v>
      </c>
      <c r="BP28" s="288">
        <v>265209</v>
      </c>
      <c r="BQ28" s="289">
        <v>226225</v>
      </c>
      <c r="BR28" s="287">
        <v>48421</v>
      </c>
      <c r="BS28" s="288">
        <v>79262</v>
      </c>
      <c r="BT28" s="288">
        <v>172576</v>
      </c>
      <c r="BU28" s="289">
        <v>202397</v>
      </c>
      <c r="BV28" s="291"/>
      <c r="BW28" s="288"/>
      <c r="BX28" s="288"/>
      <c r="BY28" s="289"/>
      <c r="BZ28" s="1520">
        <v>333412</v>
      </c>
      <c r="CA28" s="1521">
        <v>165843</v>
      </c>
      <c r="CB28" s="1521">
        <v>910784</v>
      </c>
      <c r="CC28" s="1522">
        <v>590034</v>
      </c>
      <c r="CD28" s="757">
        <v>21689</v>
      </c>
      <c r="CE28" s="293">
        <v>14351</v>
      </c>
      <c r="CF28" s="293">
        <v>71852</v>
      </c>
      <c r="CG28" s="294">
        <v>61179</v>
      </c>
      <c r="CH28" s="295">
        <v>22280</v>
      </c>
      <c r="CI28" s="296">
        <v>36121</v>
      </c>
      <c r="CJ28" s="296">
        <v>108060</v>
      </c>
      <c r="CK28" s="297">
        <v>122658</v>
      </c>
      <c r="CL28" s="298">
        <f>142767+4375</f>
        <v>147142</v>
      </c>
      <c r="CM28" s="288">
        <f>109251+4375</f>
        <v>113626</v>
      </c>
      <c r="CN28" s="288">
        <f>515997+17501</f>
        <v>533498</v>
      </c>
      <c r="CO28" s="289">
        <f>377395+17501</f>
        <v>394896</v>
      </c>
      <c r="CP28" s="299">
        <f t="shared" si="2"/>
        <v>1574933</v>
      </c>
      <c r="CQ28" s="299">
        <f t="shared" si="2"/>
        <v>1346888</v>
      </c>
      <c r="CR28" s="299">
        <f t="shared" si="2"/>
        <v>5779473</v>
      </c>
      <c r="CS28" s="1109">
        <f t="shared" si="2"/>
        <v>4711682</v>
      </c>
      <c r="CT28" s="295">
        <v>972934</v>
      </c>
      <c r="CU28" s="296">
        <v>818620</v>
      </c>
      <c r="CV28" s="296">
        <v>3334941</v>
      </c>
      <c r="CW28" s="1108">
        <v>30576682</v>
      </c>
      <c r="CX28" s="299">
        <f t="shared" si="3"/>
        <v>2547867</v>
      </c>
      <c r="CY28" s="299">
        <f t="shared" si="3"/>
        <v>2165508</v>
      </c>
      <c r="CZ28" s="299">
        <f t="shared" si="3"/>
        <v>9114414</v>
      </c>
      <c r="DA28" s="300">
        <f t="shared" si="3"/>
        <v>35288364</v>
      </c>
    </row>
    <row r="29" spans="1:105" ht="16.5">
      <c r="A29" s="283" t="s">
        <v>104</v>
      </c>
      <c r="B29" s="284">
        <v>-253</v>
      </c>
      <c r="C29" s="285">
        <v>-694</v>
      </c>
      <c r="D29" s="285">
        <v>-1483</v>
      </c>
      <c r="E29" s="286">
        <v>-1555</v>
      </c>
      <c r="F29" s="287"/>
      <c r="G29" s="288"/>
      <c r="H29" s="288"/>
      <c r="I29" s="289"/>
      <c r="J29" s="287"/>
      <c r="K29" s="288"/>
      <c r="L29" s="288"/>
      <c r="M29" s="289"/>
      <c r="N29" s="287"/>
      <c r="O29" s="288"/>
      <c r="P29" s="288"/>
      <c r="Q29" s="289"/>
      <c r="R29" s="287"/>
      <c r="S29" s="288"/>
      <c r="T29" s="288"/>
      <c r="U29" s="289"/>
      <c r="V29" s="287"/>
      <c r="W29" s="288"/>
      <c r="X29" s="288"/>
      <c r="Y29" s="289"/>
      <c r="Z29" s="287">
        <v>218</v>
      </c>
      <c r="AA29" s="288">
        <v>-157</v>
      </c>
      <c r="AB29" s="288">
        <v>-370</v>
      </c>
      <c r="AC29" s="289">
        <v>-371</v>
      </c>
      <c r="AD29" s="287">
        <v>46</v>
      </c>
      <c r="AE29" s="288">
        <v>1392</v>
      </c>
      <c r="AF29" s="288">
        <v>-183</v>
      </c>
      <c r="AG29" s="289">
        <v>1180</v>
      </c>
      <c r="AH29" s="287"/>
      <c r="AI29" s="288"/>
      <c r="AJ29" s="288"/>
      <c r="AK29" s="289"/>
      <c r="AL29" s="287"/>
      <c r="AM29" s="288"/>
      <c r="AN29" s="288"/>
      <c r="AO29" s="751"/>
      <c r="AP29" s="298"/>
      <c r="AQ29" s="288"/>
      <c r="AR29" s="288"/>
      <c r="AS29" s="751"/>
      <c r="AT29" s="298"/>
      <c r="AU29" s="288"/>
      <c r="AV29" s="288"/>
      <c r="AW29" s="751"/>
      <c r="AX29" s="755"/>
      <c r="AY29" s="290"/>
      <c r="AZ29" s="290"/>
      <c r="BA29" s="750"/>
      <c r="BB29" s="298"/>
      <c r="BC29" s="288"/>
      <c r="BD29" s="288"/>
      <c r="BE29" s="289"/>
      <c r="BF29" s="287"/>
      <c r="BG29" s="288"/>
      <c r="BH29" s="288"/>
      <c r="BI29" s="289"/>
      <c r="BJ29" s="757"/>
      <c r="BK29" s="293"/>
      <c r="BL29" s="293"/>
      <c r="BM29" s="289"/>
      <c r="BN29" s="287">
        <v>-3079</v>
      </c>
      <c r="BO29" s="288">
        <v>-5119</v>
      </c>
      <c r="BP29" s="288">
        <v>-3079</v>
      </c>
      <c r="BQ29" s="289">
        <v>-5119</v>
      </c>
      <c r="BR29" s="287"/>
      <c r="BS29" s="288"/>
      <c r="BT29" s="288"/>
      <c r="BU29" s="289"/>
      <c r="BV29" s="291"/>
      <c r="BW29" s="288"/>
      <c r="BX29" s="288"/>
      <c r="BY29" s="289"/>
      <c r="BZ29" s="1520"/>
      <c r="CA29" s="1521"/>
      <c r="CB29" s="1521"/>
      <c r="CC29" s="1522"/>
      <c r="CD29" s="757"/>
      <c r="CE29" s="293"/>
      <c r="CF29" s="293"/>
      <c r="CG29" s="294"/>
      <c r="CH29" s="295"/>
      <c r="CI29" s="296"/>
      <c r="CJ29" s="296"/>
      <c r="CK29" s="297"/>
      <c r="CL29" s="298"/>
      <c r="CM29" s="288"/>
      <c r="CN29" s="288"/>
      <c r="CO29" s="289"/>
      <c r="CP29" s="299">
        <f t="shared" si="2"/>
        <v>-3068</v>
      </c>
      <c r="CQ29" s="299">
        <f t="shared" si="2"/>
        <v>-4578</v>
      </c>
      <c r="CR29" s="299">
        <f t="shared" si="2"/>
        <v>-5115</v>
      </c>
      <c r="CS29" s="1109">
        <f t="shared" si="2"/>
        <v>-5865</v>
      </c>
      <c r="CT29" s="295"/>
      <c r="CU29" s="296"/>
      <c r="CV29" s="296"/>
      <c r="CW29" s="1108"/>
      <c r="CX29" s="299">
        <f t="shared" si="3"/>
        <v>-3068</v>
      </c>
      <c r="CY29" s="299">
        <f t="shared" si="3"/>
        <v>-4578</v>
      </c>
      <c r="CZ29" s="299">
        <f t="shared" si="3"/>
        <v>-5115</v>
      </c>
      <c r="DA29" s="300">
        <f t="shared" si="3"/>
        <v>-5865</v>
      </c>
    </row>
    <row r="30" spans="1:105" ht="16.5">
      <c r="A30" s="283" t="s">
        <v>105</v>
      </c>
      <c r="B30" s="284">
        <v>57934</v>
      </c>
      <c r="C30" s="285">
        <v>131361</v>
      </c>
      <c r="D30" s="285">
        <v>355551</v>
      </c>
      <c r="E30" s="286">
        <v>296582</v>
      </c>
      <c r="F30" s="287"/>
      <c r="G30" s="288"/>
      <c r="H30" s="288"/>
      <c r="I30" s="289"/>
      <c r="J30" s="287"/>
      <c r="K30" s="288"/>
      <c r="L30" s="288"/>
      <c r="M30" s="289"/>
      <c r="N30" s="287"/>
      <c r="O30" s="288"/>
      <c r="P30" s="288"/>
      <c r="Q30" s="289"/>
      <c r="R30" s="287"/>
      <c r="S30" s="288"/>
      <c r="T30" s="288"/>
      <c r="U30" s="289"/>
      <c r="V30" s="287"/>
      <c r="W30" s="288"/>
      <c r="X30" s="288"/>
      <c r="Y30" s="289"/>
      <c r="Z30" s="287">
        <v>6038</v>
      </c>
      <c r="AA30" s="288">
        <v>10955</v>
      </c>
      <c r="AB30" s="288">
        <v>31158</v>
      </c>
      <c r="AC30" s="289">
        <v>36681</v>
      </c>
      <c r="AD30" s="287"/>
      <c r="AE30" s="288"/>
      <c r="AF30" s="288"/>
      <c r="AG30" s="289"/>
      <c r="AH30" s="287"/>
      <c r="AI30" s="288"/>
      <c r="AJ30" s="288"/>
      <c r="AK30" s="289"/>
      <c r="AL30" s="287"/>
      <c r="AM30" s="288"/>
      <c r="AN30" s="288"/>
      <c r="AO30" s="751"/>
      <c r="AP30" s="298"/>
      <c r="AQ30" s="288"/>
      <c r="AR30" s="288"/>
      <c r="AS30" s="751"/>
      <c r="AT30" s="298"/>
      <c r="AU30" s="288"/>
      <c r="AV30" s="288"/>
      <c r="AW30" s="751"/>
      <c r="AX30" s="755"/>
      <c r="AY30" s="290"/>
      <c r="AZ30" s="290"/>
      <c r="BA30" s="750"/>
      <c r="BB30" s="298"/>
      <c r="BC30" s="288"/>
      <c r="BD30" s="288"/>
      <c r="BE30" s="289"/>
      <c r="BF30" s="287"/>
      <c r="BG30" s="288"/>
      <c r="BH30" s="288"/>
      <c r="BI30" s="289"/>
      <c r="BJ30" s="757"/>
      <c r="BK30" s="293"/>
      <c r="BL30" s="293"/>
      <c r="BM30" s="289"/>
      <c r="BN30" s="287"/>
      <c r="BO30" s="288"/>
      <c r="BP30" s="288"/>
      <c r="BQ30" s="289"/>
      <c r="BR30" s="287"/>
      <c r="BS30" s="288"/>
      <c r="BT30" s="288"/>
      <c r="BU30" s="289"/>
      <c r="BV30" s="291"/>
      <c r="BW30" s="288"/>
      <c r="BX30" s="288"/>
      <c r="BY30" s="289"/>
      <c r="BZ30" s="1520"/>
      <c r="CA30" s="1521"/>
      <c r="CB30" s="1521"/>
      <c r="CC30" s="1522"/>
      <c r="CD30" s="757"/>
      <c r="CE30" s="293"/>
      <c r="CF30" s="293"/>
      <c r="CG30" s="294"/>
      <c r="CH30" s="295"/>
      <c r="CI30" s="296"/>
      <c r="CJ30" s="296"/>
      <c r="CK30" s="297"/>
      <c r="CL30" s="298"/>
      <c r="CM30" s="288"/>
      <c r="CN30" s="288"/>
      <c r="CO30" s="289"/>
      <c r="CP30" s="299">
        <f t="shared" si="2"/>
        <v>63972</v>
      </c>
      <c r="CQ30" s="299">
        <f t="shared" si="2"/>
        <v>142316</v>
      </c>
      <c r="CR30" s="299">
        <f t="shared" si="2"/>
        <v>386709</v>
      </c>
      <c r="CS30" s="1109">
        <f t="shared" si="2"/>
        <v>333263</v>
      </c>
      <c r="CT30" s="295">
        <v>9870814</v>
      </c>
      <c r="CU30" s="296">
        <v>13935962</v>
      </c>
      <c r="CV30" s="296">
        <v>29172987</v>
      </c>
      <c r="CW30" s="1108">
        <v>27473893</v>
      </c>
      <c r="CX30" s="299">
        <f t="shared" si="3"/>
        <v>9934786</v>
      </c>
      <c r="CY30" s="299">
        <f t="shared" si="3"/>
        <v>14078278</v>
      </c>
      <c r="CZ30" s="299">
        <f t="shared" si="3"/>
        <v>29559696</v>
      </c>
      <c r="DA30" s="300">
        <f t="shared" si="3"/>
        <v>27807156</v>
      </c>
    </row>
    <row r="31" spans="1:105" ht="16.5">
      <c r="A31" s="283" t="s">
        <v>106</v>
      </c>
      <c r="B31" s="284"/>
      <c r="C31" s="285"/>
      <c r="D31" s="285"/>
      <c r="E31" s="286"/>
      <c r="F31" s="287">
        <v>30899</v>
      </c>
      <c r="G31" s="288">
        <v>25716</v>
      </c>
      <c r="H31" s="288">
        <v>68869</v>
      </c>
      <c r="I31" s="289">
        <v>67225</v>
      </c>
      <c r="J31" s="287"/>
      <c r="K31" s="288"/>
      <c r="L31" s="288"/>
      <c r="M31" s="289"/>
      <c r="N31" s="287">
        <v>493227</v>
      </c>
      <c r="O31" s="301">
        <v>-239722</v>
      </c>
      <c r="P31" s="288">
        <v>729198</v>
      </c>
      <c r="Q31" s="289">
        <v>772717</v>
      </c>
      <c r="R31" s="287"/>
      <c r="S31" s="288"/>
      <c r="T31" s="288"/>
      <c r="U31" s="289"/>
      <c r="V31" s="287"/>
      <c r="W31" s="288"/>
      <c r="X31" s="288"/>
      <c r="Y31" s="289"/>
      <c r="Z31" s="287">
        <v>-10154</v>
      </c>
      <c r="AA31" s="288">
        <v>193725</v>
      </c>
      <c r="AB31" s="288">
        <v>297327</v>
      </c>
      <c r="AC31" s="289">
        <v>745348</v>
      </c>
      <c r="AD31" s="287">
        <v>254519</v>
      </c>
      <c r="AE31" s="288">
        <v>266469</v>
      </c>
      <c r="AF31" s="288">
        <v>433233</v>
      </c>
      <c r="AG31" s="289">
        <v>408297</v>
      </c>
      <c r="AH31" s="287">
        <v>545715</v>
      </c>
      <c r="AI31" s="288">
        <v>342335</v>
      </c>
      <c r="AJ31" s="288">
        <v>1866685</v>
      </c>
      <c r="AK31" s="289">
        <v>1471099</v>
      </c>
      <c r="AL31" s="287"/>
      <c r="AM31" s="288"/>
      <c r="AN31" s="288"/>
      <c r="AO31" s="751"/>
      <c r="AP31" s="298">
        <v>2594948</v>
      </c>
      <c r="AQ31" s="288">
        <v>2318893</v>
      </c>
      <c r="AR31" s="288">
        <v>6365530</v>
      </c>
      <c r="AS31" s="751">
        <v>4914023</v>
      </c>
      <c r="AT31" s="298"/>
      <c r="AU31" s="288"/>
      <c r="AV31" s="288"/>
      <c r="AW31" s="751"/>
      <c r="AX31" s="755">
        <v>46545</v>
      </c>
      <c r="AY31" s="290">
        <v>-32597</v>
      </c>
      <c r="AZ31" s="290">
        <v>279200</v>
      </c>
      <c r="BA31" s="750">
        <v>115336</v>
      </c>
      <c r="BB31" s="298"/>
      <c r="BC31" s="288"/>
      <c r="BD31" s="288"/>
      <c r="BE31" s="289"/>
      <c r="BF31" s="287">
        <v>484176</v>
      </c>
      <c r="BG31" s="288">
        <v>205444</v>
      </c>
      <c r="BH31" s="288">
        <v>1017989</v>
      </c>
      <c r="BI31" s="289">
        <v>818247</v>
      </c>
      <c r="BJ31" s="757"/>
      <c r="BK31" s="293"/>
      <c r="BL31" s="293"/>
      <c r="BM31" s="289"/>
      <c r="BN31" s="287">
        <v>491341</v>
      </c>
      <c r="BO31" s="288">
        <v>289789</v>
      </c>
      <c r="BP31" s="288">
        <v>976255</v>
      </c>
      <c r="BQ31" s="289">
        <v>744609</v>
      </c>
      <c r="BR31" s="287">
        <v>120920</v>
      </c>
      <c r="BS31" s="288">
        <v>177785</v>
      </c>
      <c r="BT31" s="288">
        <v>409421</v>
      </c>
      <c r="BU31" s="289">
        <v>430930</v>
      </c>
      <c r="BV31" s="291"/>
      <c r="BW31" s="288"/>
      <c r="BX31" s="288"/>
      <c r="BY31" s="289"/>
      <c r="BZ31" s="1520">
        <v>189061</v>
      </c>
      <c r="CA31" s="1521">
        <v>210220</v>
      </c>
      <c r="CB31" s="1521">
        <v>305516</v>
      </c>
      <c r="CC31" s="1522">
        <v>484055</v>
      </c>
      <c r="CD31" s="757"/>
      <c r="CE31" s="293"/>
      <c r="CF31" s="293"/>
      <c r="CG31" s="294"/>
      <c r="CH31" s="295">
        <v>30790</v>
      </c>
      <c r="CI31" s="296">
        <v>1768</v>
      </c>
      <c r="CJ31" s="296">
        <v>128624</v>
      </c>
      <c r="CK31" s="297">
        <v>101472</v>
      </c>
      <c r="CL31" s="298">
        <f>111107-199</f>
        <v>110908</v>
      </c>
      <c r="CM31" s="288">
        <f>73839+2922</f>
        <v>76761</v>
      </c>
      <c r="CN31" s="288">
        <f>380105+2944</f>
        <v>383049</v>
      </c>
      <c r="CO31" s="289">
        <f>137412+6321</f>
        <v>143733</v>
      </c>
      <c r="CP31" s="299">
        <f t="shared" si="2"/>
        <v>5382895</v>
      </c>
      <c r="CQ31" s="299">
        <f t="shared" si="2"/>
        <v>3836586</v>
      </c>
      <c r="CR31" s="299">
        <f t="shared" si="2"/>
        <v>13260896</v>
      </c>
      <c r="CS31" s="1109">
        <f t="shared" si="2"/>
        <v>11217091</v>
      </c>
      <c r="CT31" s="295"/>
      <c r="CU31" s="296"/>
      <c r="CV31" s="296"/>
      <c r="CW31" s="1108"/>
      <c r="CX31" s="299">
        <f t="shared" si="3"/>
        <v>5382895</v>
      </c>
      <c r="CY31" s="299">
        <f t="shared" si="3"/>
        <v>3836586</v>
      </c>
      <c r="CZ31" s="299">
        <f t="shared" si="3"/>
        <v>13260896</v>
      </c>
      <c r="DA31" s="300">
        <f t="shared" si="3"/>
        <v>11217091</v>
      </c>
    </row>
    <row r="32" spans="1:105" ht="16.5">
      <c r="A32" s="283" t="s">
        <v>107</v>
      </c>
      <c r="B32" s="284"/>
      <c r="C32" s="285"/>
      <c r="D32" s="285"/>
      <c r="E32" s="286"/>
      <c r="F32" s="287">
        <v>21702</v>
      </c>
      <c r="G32" s="288">
        <v>14486</v>
      </c>
      <c r="H32" s="288">
        <v>86162</v>
      </c>
      <c r="I32" s="289">
        <v>77441</v>
      </c>
      <c r="J32" s="287"/>
      <c r="K32" s="288"/>
      <c r="L32" s="288"/>
      <c r="M32" s="289"/>
      <c r="N32" s="287"/>
      <c r="O32" s="288"/>
      <c r="P32" s="288"/>
      <c r="Q32" s="289"/>
      <c r="R32" s="287"/>
      <c r="S32" s="288"/>
      <c r="T32" s="288"/>
      <c r="U32" s="289"/>
      <c r="V32" s="287"/>
      <c r="W32" s="288"/>
      <c r="X32" s="288"/>
      <c r="Y32" s="289"/>
      <c r="Z32" s="287"/>
      <c r="AA32" s="288"/>
      <c r="AB32" s="288"/>
      <c r="AC32" s="289"/>
      <c r="AD32" s="287">
        <v>40880</v>
      </c>
      <c r="AE32" s="288">
        <v>53133</v>
      </c>
      <c r="AF32" s="288">
        <v>147440</v>
      </c>
      <c r="AG32" s="289">
        <v>90768</v>
      </c>
      <c r="AH32" s="287"/>
      <c r="AI32" s="288"/>
      <c r="AJ32" s="288"/>
      <c r="AK32" s="289"/>
      <c r="AL32" s="287"/>
      <c r="AM32" s="288"/>
      <c r="AN32" s="288"/>
      <c r="AO32" s="751"/>
      <c r="AP32" s="298"/>
      <c r="AQ32" s="288"/>
      <c r="AR32" s="288"/>
      <c r="AS32" s="751"/>
      <c r="AT32" s="298">
        <f>250341+79471</f>
        <v>329812</v>
      </c>
      <c r="AU32" s="288">
        <f>217762+61146</f>
        <v>278908</v>
      </c>
      <c r="AV32" s="288">
        <f>921725+274215</f>
        <v>1195940</v>
      </c>
      <c r="AW32" s="751">
        <f>801302+203672</f>
        <v>1004974</v>
      </c>
      <c r="AX32" s="755"/>
      <c r="AY32" s="290"/>
      <c r="AZ32" s="290"/>
      <c r="BA32" s="750"/>
      <c r="BB32" s="298"/>
      <c r="BC32" s="288"/>
      <c r="BD32" s="288"/>
      <c r="BE32" s="289"/>
      <c r="BF32" s="287">
        <v>137208</v>
      </c>
      <c r="BG32" s="288">
        <v>127681</v>
      </c>
      <c r="BH32" s="288">
        <v>154350</v>
      </c>
      <c r="BI32" s="289">
        <v>127708</v>
      </c>
      <c r="BJ32" s="757"/>
      <c r="BK32" s="293"/>
      <c r="BL32" s="293"/>
      <c r="BM32" s="289"/>
      <c r="BN32" s="287"/>
      <c r="BO32" s="288"/>
      <c r="BP32" s="288"/>
      <c r="BQ32" s="289"/>
      <c r="BR32" s="287">
        <v>70655</v>
      </c>
      <c r="BS32" s="288">
        <v>54862</v>
      </c>
      <c r="BT32" s="288">
        <v>245776</v>
      </c>
      <c r="BU32" s="289">
        <v>265913</v>
      </c>
      <c r="BV32" s="291"/>
      <c r="BW32" s="288"/>
      <c r="BX32" s="288"/>
      <c r="BY32" s="289"/>
      <c r="BZ32" s="1520"/>
      <c r="CA32" s="1521"/>
      <c r="CB32" s="1521"/>
      <c r="CC32" s="1522"/>
      <c r="CD32" s="757"/>
      <c r="CE32" s="293"/>
      <c r="CF32" s="293"/>
      <c r="CG32" s="294"/>
      <c r="CH32" s="295"/>
      <c r="CI32" s="296"/>
      <c r="CJ32" s="296"/>
      <c r="CK32" s="297"/>
      <c r="CL32" s="298"/>
      <c r="CM32" s="288"/>
      <c r="CN32" s="288"/>
      <c r="CO32" s="289"/>
      <c r="CP32" s="299">
        <f t="shared" si="2"/>
        <v>600257</v>
      </c>
      <c r="CQ32" s="299">
        <f t="shared" si="2"/>
        <v>529070</v>
      </c>
      <c r="CR32" s="299">
        <f t="shared" si="2"/>
        <v>1829668</v>
      </c>
      <c r="CS32" s="1109">
        <f t="shared" si="2"/>
        <v>1566804</v>
      </c>
      <c r="CT32" s="295"/>
      <c r="CU32" s="296"/>
      <c r="CV32" s="296"/>
      <c r="CW32" s="1108"/>
      <c r="CX32" s="299">
        <f t="shared" si="3"/>
        <v>600257</v>
      </c>
      <c r="CY32" s="299">
        <f t="shared" si="3"/>
        <v>529070</v>
      </c>
      <c r="CZ32" s="299">
        <f t="shared" si="3"/>
        <v>1829668</v>
      </c>
      <c r="DA32" s="300">
        <f t="shared" si="3"/>
        <v>1566804</v>
      </c>
    </row>
    <row r="33" spans="1:105" ht="16.5">
      <c r="A33" s="283" t="s">
        <v>108</v>
      </c>
      <c r="B33" s="284"/>
      <c r="C33" s="285"/>
      <c r="D33" s="285"/>
      <c r="E33" s="286"/>
      <c r="F33" s="287">
        <v>5940</v>
      </c>
      <c r="G33" s="288">
        <v>5257</v>
      </c>
      <c r="H33" s="288">
        <v>21517</v>
      </c>
      <c r="I33" s="289">
        <v>22466</v>
      </c>
      <c r="J33" s="287"/>
      <c r="K33" s="288"/>
      <c r="L33" s="288"/>
      <c r="M33" s="289"/>
      <c r="N33" s="287">
        <v>47304</v>
      </c>
      <c r="O33" s="288">
        <v>58411</v>
      </c>
      <c r="P33" s="288">
        <v>210187</v>
      </c>
      <c r="Q33" s="289">
        <v>210881</v>
      </c>
      <c r="R33" s="287">
        <f>4134+18020+4342+10075+1162</f>
        <v>37733</v>
      </c>
      <c r="S33" s="288">
        <f>8158+9330+2332+5556+531</f>
        <v>25907</v>
      </c>
      <c r="T33" s="288">
        <f>26411+48621+13145+22245+3830</f>
        <v>114252</v>
      </c>
      <c r="U33" s="289">
        <f>23516+30927+10028+15051+8572</f>
        <v>88094</v>
      </c>
      <c r="V33" s="287"/>
      <c r="W33" s="288"/>
      <c r="X33" s="288"/>
      <c r="Y33" s="289"/>
      <c r="Z33" s="287"/>
      <c r="AA33" s="288"/>
      <c r="AB33" s="288"/>
      <c r="AC33" s="289"/>
      <c r="AD33" s="287"/>
      <c r="AE33" s="288"/>
      <c r="AF33" s="288"/>
      <c r="AG33" s="289"/>
      <c r="AH33" s="287"/>
      <c r="AI33" s="288"/>
      <c r="AJ33" s="288"/>
      <c r="AK33" s="289"/>
      <c r="AL33" s="287">
        <v>3630</v>
      </c>
      <c r="AM33" s="288">
        <v>2466</v>
      </c>
      <c r="AN33" s="288">
        <v>11635</v>
      </c>
      <c r="AO33" s="751">
        <v>8512</v>
      </c>
      <c r="AP33" s="298">
        <v>221794</v>
      </c>
      <c r="AQ33" s="288">
        <v>191148</v>
      </c>
      <c r="AR33" s="288">
        <v>584480</v>
      </c>
      <c r="AS33" s="751">
        <v>699952</v>
      </c>
      <c r="AT33" s="298">
        <v>525358</v>
      </c>
      <c r="AU33" s="288">
        <v>341222</v>
      </c>
      <c r="AV33" s="288">
        <v>1821880</v>
      </c>
      <c r="AW33" s="751">
        <v>1498484</v>
      </c>
      <c r="AX33" s="755"/>
      <c r="AY33" s="290"/>
      <c r="AZ33" s="290"/>
      <c r="BA33" s="750"/>
      <c r="BB33" s="298">
        <v>6428</v>
      </c>
      <c r="BC33" s="288">
        <v>6112</v>
      </c>
      <c r="BD33" s="288">
        <v>28045</v>
      </c>
      <c r="BE33" s="289">
        <v>22995</v>
      </c>
      <c r="BF33" s="287">
        <v>119823</v>
      </c>
      <c r="BG33" s="288">
        <v>75511</v>
      </c>
      <c r="BH33" s="288">
        <v>456495</v>
      </c>
      <c r="BI33" s="289">
        <v>371803</v>
      </c>
      <c r="BJ33" s="757">
        <f>4619-24314</f>
        <v>-19695</v>
      </c>
      <c r="BK33" s="293">
        <f>3488+11340</f>
        <v>14828</v>
      </c>
      <c r="BL33" s="293">
        <f>13029+40540</f>
        <v>53569</v>
      </c>
      <c r="BM33" s="289">
        <f>15665+63145</f>
        <v>78810</v>
      </c>
      <c r="BN33" s="287">
        <v>31160</v>
      </c>
      <c r="BO33" s="288">
        <v>29875</v>
      </c>
      <c r="BP33" s="288">
        <v>124534</v>
      </c>
      <c r="BQ33" s="289">
        <v>125252</v>
      </c>
      <c r="BR33" s="287">
        <v>26120</v>
      </c>
      <c r="BS33" s="288">
        <v>21849</v>
      </c>
      <c r="BT33" s="288">
        <v>95754</v>
      </c>
      <c r="BU33" s="289">
        <v>111318</v>
      </c>
      <c r="BV33" s="291"/>
      <c r="BW33" s="288"/>
      <c r="BX33" s="288"/>
      <c r="BY33" s="289"/>
      <c r="BZ33" s="1520"/>
      <c r="CA33" s="1521"/>
      <c r="CB33" s="1521"/>
      <c r="CC33" s="1522"/>
      <c r="CD33" s="757"/>
      <c r="CE33" s="293"/>
      <c r="CF33" s="293"/>
      <c r="CG33" s="294"/>
      <c r="CH33" s="295"/>
      <c r="CI33" s="296"/>
      <c r="CJ33" s="296"/>
      <c r="CK33" s="297"/>
      <c r="CL33" s="298">
        <v>43157</v>
      </c>
      <c r="CM33" s="288">
        <v>23702</v>
      </c>
      <c r="CN33" s="288">
        <v>158078</v>
      </c>
      <c r="CO33" s="301">
        <v>142146</v>
      </c>
      <c r="CP33" s="299">
        <f t="shared" si="2"/>
        <v>1048752</v>
      </c>
      <c r="CQ33" s="299">
        <f t="shared" si="2"/>
        <v>796288</v>
      </c>
      <c r="CR33" s="299">
        <f t="shared" si="2"/>
        <v>3680426</v>
      </c>
      <c r="CS33" s="1109">
        <f t="shared" si="2"/>
        <v>3380713</v>
      </c>
      <c r="CT33" s="295"/>
      <c r="CU33" s="296"/>
      <c r="CV33" s="296"/>
      <c r="CW33" s="1108"/>
      <c r="CX33" s="299">
        <f t="shared" si="3"/>
        <v>1048752</v>
      </c>
      <c r="CY33" s="299">
        <f t="shared" si="3"/>
        <v>796288</v>
      </c>
      <c r="CZ33" s="299">
        <f t="shared" si="3"/>
        <v>3680426</v>
      </c>
      <c r="DA33" s="300">
        <f t="shared" si="3"/>
        <v>3380713</v>
      </c>
    </row>
    <row r="34" spans="1:105" ht="16.5">
      <c r="A34" s="283" t="s">
        <v>109</v>
      </c>
      <c r="B34" s="284">
        <v>32117</v>
      </c>
      <c r="C34" s="285">
        <v>32310</v>
      </c>
      <c r="D34" s="285">
        <v>138562</v>
      </c>
      <c r="E34" s="286">
        <v>138382</v>
      </c>
      <c r="F34" s="287">
        <v>2878</v>
      </c>
      <c r="G34" s="288">
        <v>2189</v>
      </c>
      <c r="H34" s="288">
        <v>15851</v>
      </c>
      <c r="I34" s="289">
        <v>15882</v>
      </c>
      <c r="J34" s="287">
        <v>9040</v>
      </c>
      <c r="K34" s="288">
        <v>10734</v>
      </c>
      <c r="L34" s="288">
        <v>47599</v>
      </c>
      <c r="M34" s="289">
        <v>52556</v>
      </c>
      <c r="N34" s="287">
        <v>10461</v>
      </c>
      <c r="O34" s="288">
        <v>65698</v>
      </c>
      <c r="P34" s="288">
        <v>119618</v>
      </c>
      <c r="Q34" s="289">
        <v>168801</v>
      </c>
      <c r="R34" s="287">
        <v>7543</v>
      </c>
      <c r="S34" s="288">
        <v>16457</v>
      </c>
      <c r="T34" s="288">
        <v>38855</v>
      </c>
      <c r="U34" s="289">
        <v>50366</v>
      </c>
      <c r="V34" s="287"/>
      <c r="W34" s="288"/>
      <c r="X34" s="288"/>
      <c r="Y34" s="289"/>
      <c r="Z34" s="287">
        <v>8606</v>
      </c>
      <c r="AA34" s="288">
        <v>5793</v>
      </c>
      <c r="AB34" s="288">
        <v>31183</v>
      </c>
      <c r="AC34" s="289">
        <v>29960</v>
      </c>
      <c r="AD34" s="287"/>
      <c r="AE34" s="288"/>
      <c r="AF34" s="288"/>
      <c r="AG34" s="289"/>
      <c r="AH34" s="287">
        <v>12237</v>
      </c>
      <c r="AI34" s="288">
        <v>9040</v>
      </c>
      <c r="AJ34" s="288">
        <v>73670</v>
      </c>
      <c r="AK34" s="289">
        <v>73035</v>
      </c>
      <c r="AL34" s="287"/>
      <c r="AM34" s="288"/>
      <c r="AN34" s="288"/>
      <c r="AO34" s="751"/>
      <c r="AP34" s="298"/>
      <c r="AQ34" s="288"/>
      <c r="AR34" s="288"/>
      <c r="AS34" s="751"/>
      <c r="AT34" s="298"/>
      <c r="AU34" s="288"/>
      <c r="AV34" s="288"/>
      <c r="AW34" s="751"/>
      <c r="AX34" s="755">
        <v>4361</v>
      </c>
      <c r="AY34" s="290">
        <v>2843</v>
      </c>
      <c r="AZ34" s="290">
        <v>24023</v>
      </c>
      <c r="BA34" s="750">
        <v>21957</v>
      </c>
      <c r="BB34" s="298"/>
      <c r="BC34" s="288"/>
      <c r="BD34" s="288"/>
      <c r="BE34" s="289"/>
      <c r="BF34" s="287">
        <v>26246</v>
      </c>
      <c r="BG34" s="288">
        <v>16346</v>
      </c>
      <c r="BH34" s="288">
        <v>103456</v>
      </c>
      <c r="BI34" s="289">
        <v>97815</v>
      </c>
      <c r="BJ34" s="757">
        <v>79999</v>
      </c>
      <c r="BK34" s="293">
        <v>66003</v>
      </c>
      <c r="BL34" s="293">
        <v>298719</v>
      </c>
      <c r="BM34" s="289">
        <v>264455</v>
      </c>
      <c r="BN34" s="287"/>
      <c r="BO34" s="288"/>
      <c r="BP34" s="288"/>
      <c r="BQ34" s="289"/>
      <c r="BR34" s="287"/>
      <c r="BS34" s="288"/>
      <c r="BT34" s="288"/>
      <c r="BU34" s="289"/>
      <c r="BV34" s="291"/>
      <c r="BW34" s="288"/>
      <c r="BX34" s="288"/>
      <c r="BY34" s="289"/>
      <c r="BZ34" s="1520"/>
      <c r="CA34" s="1521"/>
      <c r="CB34" s="1521"/>
      <c r="CC34" s="1522"/>
      <c r="CD34" s="757"/>
      <c r="CE34" s="293"/>
      <c r="CF34" s="293"/>
      <c r="CG34" s="294"/>
      <c r="CH34" s="295"/>
      <c r="CI34" s="296"/>
      <c r="CJ34" s="296"/>
      <c r="CK34" s="297"/>
      <c r="CL34" s="298"/>
      <c r="CM34" s="288"/>
      <c r="CN34" s="288"/>
      <c r="CO34" s="289"/>
      <c r="CP34" s="299">
        <f t="shared" si="2"/>
        <v>193488</v>
      </c>
      <c r="CQ34" s="299">
        <f t="shared" si="2"/>
        <v>227413</v>
      </c>
      <c r="CR34" s="299">
        <f t="shared" si="2"/>
        <v>891536</v>
      </c>
      <c r="CS34" s="1109">
        <f t="shared" si="2"/>
        <v>913209</v>
      </c>
      <c r="CT34" s="295">
        <v>604325</v>
      </c>
      <c r="CU34" s="296">
        <v>658113</v>
      </c>
      <c r="CV34" s="296">
        <v>2515119</v>
      </c>
      <c r="CW34" s="1108">
        <v>2528504</v>
      </c>
      <c r="CX34" s="299">
        <f t="shared" si="3"/>
        <v>797813</v>
      </c>
      <c r="CY34" s="299">
        <f t="shared" si="3"/>
        <v>885526</v>
      </c>
      <c r="CZ34" s="299">
        <f t="shared" si="3"/>
        <v>3406655</v>
      </c>
      <c r="DA34" s="300">
        <f t="shared" si="3"/>
        <v>3441713</v>
      </c>
    </row>
    <row r="35" spans="1:105" ht="16.5">
      <c r="A35" s="283" t="s">
        <v>110</v>
      </c>
      <c r="B35" s="284">
        <v>28519</v>
      </c>
      <c r="C35" s="285">
        <v>31479</v>
      </c>
      <c r="D35" s="285">
        <v>171149</v>
      </c>
      <c r="E35" s="286">
        <v>94541</v>
      </c>
      <c r="F35" s="287">
        <v>4150</v>
      </c>
      <c r="G35" s="288">
        <v>417</v>
      </c>
      <c r="H35" s="288">
        <v>20873</v>
      </c>
      <c r="I35" s="289">
        <v>17085</v>
      </c>
      <c r="J35" s="287">
        <v>4261</v>
      </c>
      <c r="K35" s="288">
        <v>12812</v>
      </c>
      <c r="L35" s="288">
        <v>15145</v>
      </c>
      <c r="M35" s="289">
        <v>39999</v>
      </c>
      <c r="N35" s="287"/>
      <c r="O35" s="288"/>
      <c r="P35" s="288"/>
      <c r="Q35" s="289"/>
      <c r="R35" s="287"/>
      <c r="S35" s="288"/>
      <c r="T35" s="288"/>
      <c r="U35" s="289"/>
      <c r="V35" s="287"/>
      <c r="W35" s="288"/>
      <c r="X35" s="288"/>
      <c r="Y35" s="289"/>
      <c r="Z35" s="287"/>
      <c r="AA35" s="288"/>
      <c r="AB35" s="288"/>
      <c r="AC35" s="289"/>
      <c r="AD35" s="287"/>
      <c r="AE35" s="288"/>
      <c r="AF35" s="288"/>
      <c r="AG35" s="289"/>
      <c r="AH35" s="287"/>
      <c r="AI35" s="288"/>
      <c r="AJ35" s="288"/>
      <c r="AK35" s="289"/>
      <c r="AL35" s="287"/>
      <c r="AM35" s="288"/>
      <c r="AN35" s="288"/>
      <c r="AO35" s="751"/>
      <c r="AP35" s="298"/>
      <c r="AQ35" s="288"/>
      <c r="AR35" s="288"/>
      <c r="AS35" s="751"/>
      <c r="AT35" s="298"/>
      <c r="AU35" s="288"/>
      <c r="AV35" s="288"/>
      <c r="AW35" s="751"/>
      <c r="AX35" s="755"/>
      <c r="AY35" s="290"/>
      <c r="AZ35" s="290"/>
      <c r="BA35" s="750"/>
      <c r="BB35" s="298"/>
      <c r="BC35" s="288"/>
      <c r="BD35" s="288"/>
      <c r="BE35" s="289"/>
      <c r="BF35" s="287">
        <v>9714</v>
      </c>
      <c r="BG35" s="288">
        <v>16486</v>
      </c>
      <c r="BH35" s="288">
        <v>54364</v>
      </c>
      <c r="BI35" s="289">
        <v>61697</v>
      </c>
      <c r="BJ35" s="757"/>
      <c r="BK35" s="293"/>
      <c r="BL35" s="293"/>
      <c r="BM35" s="289"/>
      <c r="BN35" s="287"/>
      <c r="BO35" s="288"/>
      <c r="BP35" s="288"/>
      <c r="BQ35" s="289"/>
      <c r="BR35" s="287"/>
      <c r="BS35" s="288"/>
      <c r="BT35" s="288"/>
      <c r="BU35" s="289"/>
      <c r="BV35" s="291"/>
      <c r="BW35" s="288"/>
      <c r="BX35" s="288"/>
      <c r="BY35" s="289"/>
      <c r="BZ35" s="1520"/>
      <c r="CA35" s="1521"/>
      <c r="CB35" s="1521"/>
      <c r="CC35" s="1522"/>
      <c r="CD35" s="757"/>
      <c r="CE35" s="293"/>
      <c r="CF35" s="293"/>
      <c r="CG35" s="294"/>
      <c r="CH35" s="295"/>
      <c r="CI35" s="296"/>
      <c r="CJ35" s="296"/>
      <c r="CK35" s="297"/>
      <c r="CL35" s="1111"/>
      <c r="CM35" s="301"/>
      <c r="CN35" s="301"/>
      <c r="CO35" s="301"/>
      <c r="CP35" s="299">
        <f t="shared" si="2"/>
        <v>46644</v>
      </c>
      <c r="CQ35" s="299">
        <f t="shared" si="2"/>
        <v>61194</v>
      </c>
      <c r="CR35" s="299">
        <f t="shared" si="2"/>
        <v>261531</v>
      </c>
      <c r="CS35" s="1109">
        <f t="shared" si="2"/>
        <v>213322</v>
      </c>
      <c r="CT35" s="295"/>
      <c r="CU35" s="296"/>
      <c r="CV35" s="296"/>
      <c r="CW35" s="1108"/>
      <c r="CX35" s="299">
        <f t="shared" si="3"/>
        <v>46644</v>
      </c>
      <c r="CY35" s="299">
        <f t="shared" si="3"/>
        <v>61194</v>
      </c>
      <c r="CZ35" s="299">
        <f t="shared" si="3"/>
        <v>261531</v>
      </c>
      <c r="DA35" s="300">
        <f t="shared" si="3"/>
        <v>213322</v>
      </c>
    </row>
    <row r="36" spans="1:105" ht="16.5">
      <c r="A36" s="283" t="s">
        <v>111</v>
      </c>
      <c r="B36" s="284">
        <v>4369</v>
      </c>
      <c r="C36" s="285">
        <v>21378</v>
      </c>
      <c r="D36" s="285">
        <v>53006</v>
      </c>
      <c r="E36" s="286">
        <v>66191</v>
      </c>
      <c r="F36" s="287">
        <v>10754</v>
      </c>
      <c r="G36" s="288">
        <v>-6324</v>
      </c>
      <c r="H36" s="288">
        <v>17097</v>
      </c>
      <c r="I36" s="289">
        <v>3952</v>
      </c>
      <c r="J36" s="287">
        <v>4947</v>
      </c>
      <c r="K36" s="288">
        <v>1786</v>
      </c>
      <c r="L36" s="288">
        <v>16458</v>
      </c>
      <c r="M36" s="289">
        <v>16486</v>
      </c>
      <c r="N36" s="287">
        <v>24194</v>
      </c>
      <c r="O36" s="288">
        <v>78698</v>
      </c>
      <c r="P36" s="288">
        <v>106232</v>
      </c>
      <c r="Q36" s="289">
        <v>179110</v>
      </c>
      <c r="R36" s="287">
        <v>22941</v>
      </c>
      <c r="S36" s="288">
        <v>19107</v>
      </c>
      <c r="T36" s="288">
        <v>71257</v>
      </c>
      <c r="U36" s="289">
        <v>64905</v>
      </c>
      <c r="V36" s="287">
        <v>46303</v>
      </c>
      <c r="W36" s="288">
        <v>30180</v>
      </c>
      <c r="X36" s="288">
        <v>164213</v>
      </c>
      <c r="Y36" s="289">
        <v>140157</v>
      </c>
      <c r="Z36" s="287">
        <f>-6+32161</f>
        <v>32155</v>
      </c>
      <c r="AA36" s="288">
        <f>12+58674</f>
        <v>58686</v>
      </c>
      <c r="AB36" s="288">
        <f>150002+43</f>
        <v>150045</v>
      </c>
      <c r="AC36" s="289">
        <f>162420-1157</f>
        <v>161263</v>
      </c>
      <c r="AD36" s="287">
        <v>3832</v>
      </c>
      <c r="AE36" s="288">
        <v>5293</v>
      </c>
      <c r="AF36" s="288">
        <v>26558</v>
      </c>
      <c r="AG36" s="289">
        <v>21215</v>
      </c>
      <c r="AH36" s="287">
        <f>-662+12309-10</f>
        <v>11637</v>
      </c>
      <c r="AI36" s="288">
        <f>3113+1428</f>
        <v>4541</v>
      </c>
      <c r="AJ36" s="288">
        <f>-10+36225+4072</f>
        <v>40287</v>
      </c>
      <c r="AK36" s="289">
        <f>19204+4911</f>
        <v>24115</v>
      </c>
      <c r="AL36" s="287">
        <v>5419</v>
      </c>
      <c r="AM36" s="288">
        <v>2321</v>
      </c>
      <c r="AN36" s="288">
        <v>13267</v>
      </c>
      <c r="AO36" s="751">
        <v>7688</v>
      </c>
      <c r="AP36" s="298">
        <v>11514</v>
      </c>
      <c r="AQ36" s="288">
        <v>11514</v>
      </c>
      <c r="AR36" s="288">
        <v>46057</v>
      </c>
      <c r="AS36" s="751">
        <v>46057</v>
      </c>
      <c r="AT36" s="298">
        <v>40380</v>
      </c>
      <c r="AU36" s="288">
        <v>25359</v>
      </c>
      <c r="AV36" s="288">
        <v>141216</v>
      </c>
      <c r="AW36" s="751">
        <v>137751</v>
      </c>
      <c r="AX36" s="755">
        <f>-1004+3248</f>
        <v>2244</v>
      </c>
      <c r="AY36" s="290">
        <f>4627-3787</f>
        <v>840</v>
      </c>
      <c r="AZ36" s="290">
        <f>26264+14696</f>
        <v>40960</v>
      </c>
      <c r="BA36" s="750">
        <f>21463+3360+1325</f>
        <v>26148</v>
      </c>
      <c r="BB36" s="298"/>
      <c r="BC36" s="288"/>
      <c r="BD36" s="288"/>
      <c r="BE36" s="289"/>
      <c r="BF36" s="857">
        <f>2695+87816</f>
        <v>90511</v>
      </c>
      <c r="BG36" s="858">
        <f>4846+211193</f>
        <v>216039</v>
      </c>
      <c r="BH36" s="858">
        <f>8072+266158</f>
        <v>274230</v>
      </c>
      <c r="BI36" s="1535">
        <f>13907+211193</f>
        <v>225100</v>
      </c>
      <c r="BJ36" s="757">
        <f>242+21513</f>
        <v>21755</v>
      </c>
      <c r="BK36" s="293">
        <f>182+9793</f>
        <v>9975</v>
      </c>
      <c r="BL36" s="293">
        <f>214+46936</f>
        <v>47150</v>
      </c>
      <c r="BM36" s="289">
        <f>954+69164</f>
        <v>70118</v>
      </c>
      <c r="BN36" s="287">
        <v>5065</v>
      </c>
      <c r="BO36" s="288">
        <v>23617</v>
      </c>
      <c r="BP36" s="288">
        <v>6747</v>
      </c>
      <c r="BQ36" s="289">
        <v>36736</v>
      </c>
      <c r="BR36" s="287">
        <v>-24899</v>
      </c>
      <c r="BS36" s="288">
        <v>32537</v>
      </c>
      <c r="BT36" s="288">
        <v>19124</v>
      </c>
      <c r="BU36" s="289">
        <v>58086</v>
      </c>
      <c r="BV36" s="291"/>
      <c r="BW36" s="288"/>
      <c r="BX36" s="288"/>
      <c r="BY36" s="289"/>
      <c r="BZ36" s="1520">
        <v>304355</v>
      </c>
      <c r="CA36" s="1521">
        <v>283669</v>
      </c>
      <c r="CB36" s="1521">
        <v>907427</v>
      </c>
      <c r="CC36" s="1522">
        <v>763007</v>
      </c>
      <c r="CD36" s="757">
        <v>141937</v>
      </c>
      <c r="CE36" s="293">
        <v>91688</v>
      </c>
      <c r="CF36" s="293">
        <v>498841</v>
      </c>
      <c r="CG36" s="294">
        <v>407018</v>
      </c>
      <c r="CH36" s="295">
        <v>4659</v>
      </c>
      <c r="CI36" s="296">
        <v>7046</v>
      </c>
      <c r="CJ36" s="296">
        <v>23914</v>
      </c>
      <c r="CK36" s="297">
        <v>25545</v>
      </c>
      <c r="CL36" s="298">
        <v>1950</v>
      </c>
      <c r="CM36" s="288">
        <v>3650</v>
      </c>
      <c r="CN36" s="288">
        <v>6950</v>
      </c>
      <c r="CO36" s="289">
        <v>8870</v>
      </c>
      <c r="CP36" s="284">
        <f t="shared" si="2"/>
        <v>766022</v>
      </c>
      <c r="CQ36" s="284">
        <f t="shared" si="2"/>
        <v>921600</v>
      </c>
      <c r="CR36" s="284">
        <f t="shared" si="2"/>
        <v>2671036</v>
      </c>
      <c r="CS36" s="1467">
        <f t="shared" si="2"/>
        <v>2489518</v>
      </c>
      <c r="CT36" s="298">
        <f>235881+8887+10521+1344606</f>
        <v>1599895</v>
      </c>
      <c r="CU36" s="288">
        <f>341939+11993+15565+1297499</f>
        <v>1666996</v>
      </c>
      <c r="CV36" s="288">
        <f>1252977+108783+32789+4415099</f>
        <v>5809648</v>
      </c>
      <c r="CW36" s="751">
        <f>1305993+106427+40332+4320461</f>
        <v>5773213</v>
      </c>
      <c r="CX36" s="284">
        <f t="shared" si="3"/>
        <v>2365917</v>
      </c>
      <c r="CY36" s="284">
        <f t="shared" si="3"/>
        <v>2588596</v>
      </c>
      <c r="CZ36" s="284">
        <f t="shared" si="3"/>
        <v>8480684</v>
      </c>
      <c r="DA36" s="1471">
        <f t="shared" si="3"/>
        <v>8262731</v>
      </c>
    </row>
    <row r="37" spans="1:105" ht="16.5">
      <c r="A37" s="313" t="s">
        <v>112</v>
      </c>
      <c r="B37" s="324">
        <v>108333</v>
      </c>
      <c r="C37" s="325">
        <v>80964</v>
      </c>
      <c r="D37" s="325">
        <v>306773</v>
      </c>
      <c r="E37" s="326">
        <v>235530</v>
      </c>
      <c r="F37" s="327"/>
      <c r="G37" s="317"/>
      <c r="H37" s="317"/>
      <c r="I37" s="318"/>
      <c r="J37" s="327"/>
      <c r="K37" s="317"/>
      <c r="L37" s="317"/>
      <c r="M37" s="318"/>
      <c r="N37" s="327"/>
      <c r="O37" s="317"/>
      <c r="P37" s="317"/>
      <c r="Q37" s="318"/>
      <c r="R37" s="327"/>
      <c r="S37" s="317"/>
      <c r="T37" s="317"/>
      <c r="U37" s="318"/>
      <c r="V37" s="327"/>
      <c r="W37" s="317"/>
      <c r="X37" s="317"/>
      <c r="Y37" s="318"/>
      <c r="Z37" s="327"/>
      <c r="AA37" s="317"/>
      <c r="AB37" s="317"/>
      <c r="AC37" s="318"/>
      <c r="AD37" s="327"/>
      <c r="AE37" s="317"/>
      <c r="AF37" s="317"/>
      <c r="AG37" s="318"/>
      <c r="AH37" s="327"/>
      <c r="AI37" s="317"/>
      <c r="AJ37" s="317"/>
      <c r="AK37" s="318"/>
      <c r="AL37" s="327">
        <v>14169</v>
      </c>
      <c r="AM37" s="317">
        <v>22684</v>
      </c>
      <c r="AN37" s="317">
        <v>61061</v>
      </c>
      <c r="AO37" s="754">
        <v>56872</v>
      </c>
      <c r="AP37" s="328"/>
      <c r="AQ37" s="317"/>
      <c r="AR37" s="317"/>
      <c r="AS37" s="754"/>
      <c r="AT37" s="328"/>
      <c r="AU37" s="317"/>
      <c r="AV37" s="317"/>
      <c r="AW37" s="754"/>
      <c r="AX37" s="756"/>
      <c r="AY37" s="315"/>
      <c r="AZ37" s="315"/>
      <c r="BA37" s="752"/>
      <c r="BB37" s="328">
        <v>31919</v>
      </c>
      <c r="BC37" s="317">
        <v>19474</v>
      </c>
      <c r="BD37" s="317">
        <v>78154</v>
      </c>
      <c r="BE37" s="318">
        <v>58521</v>
      </c>
      <c r="BF37" s="1536"/>
      <c r="BG37" s="1537"/>
      <c r="BH37" s="1537"/>
      <c r="BI37" s="1538"/>
      <c r="BJ37" s="758"/>
      <c r="BK37" s="319"/>
      <c r="BL37" s="319"/>
      <c r="BM37" s="318"/>
      <c r="BN37" s="327"/>
      <c r="BO37" s="317"/>
      <c r="BP37" s="317"/>
      <c r="BQ37" s="318"/>
      <c r="BR37" s="327"/>
      <c r="BS37" s="317"/>
      <c r="BT37" s="317"/>
      <c r="BU37" s="318"/>
      <c r="BV37" s="316"/>
      <c r="BW37" s="317"/>
      <c r="BX37" s="317"/>
      <c r="BY37" s="318"/>
      <c r="BZ37" s="1525"/>
      <c r="CA37" s="1526"/>
      <c r="CB37" s="1526"/>
      <c r="CC37" s="1527"/>
      <c r="CD37" s="758"/>
      <c r="CE37" s="319"/>
      <c r="CF37" s="319"/>
      <c r="CG37" s="320"/>
      <c r="CH37" s="295"/>
      <c r="CI37" s="296"/>
      <c r="CJ37" s="296"/>
      <c r="CK37" s="297"/>
      <c r="CL37" s="328"/>
      <c r="CM37" s="317"/>
      <c r="CN37" s="317"/>
      <c r="CO37" s="318"/>
      <c r="CP37" s="284">
        <f t="shared" si="2"/>
        <v>154421</v>
      </c>
      <c r="CQ37" s="284">
        <f t="shared" si="2"/>
        <v>123122</v>
      </c>
      <c r="CR37" s="284">
        <f t="shared" si="2"/>
        <v>445988</v>
      </c>
      <c r="CS37" s="1467">
        <f t="shared" si="2"/>
        <v>350923</v>
      </c>
      <c r="CT37" s="328"/>
      <c r="CU37" s="317"/>
      <c r="CV37" s="317"/>
      <c r="CW37" s="754"/>
      <c r="CX37" s="284">
        <f t="shared" si="3"/>
        <v>154421</v>
      </c>
      <c r="CY37" s="284">
        <f t="shared" si="3"/>
        <v>123122</v>
      </c>
      <c r="CZ37" s="284">
        <f t="shared" si="3"/>
        <v>445988</v>
      </c>
      <c r="DA37" s="1471">
        <f t="shared" si="3"/>
        <v>350923</v>
      </c>
    </row>
    <row r="38" spans="1:105" ht="17.25" thickBot="1">
      <c r="A38" s="1104" t="s">
        <v>113</v>
      </c>
      <c r="B38" s="324">
        <v>-820100</v>
      </c>
      <c r="C38" s="325">
        <v>-1018874</v>
      </c>
      <c r="D38" s="325">
        <v>-820100</v>
      </c>
      <c r="E38" s="326">
        <v>-1018874</v>
      </c>
      <c r="F38" s="327">
        <v>154579</v>
      </c>
      <c r="G38" s="317">
        <v>99516</v>
      </c>
      <c r="H38" s="317">
        <v>-673562</v>
      </c>
      <c r="I38" s="318">
        <v>-480193</v>
      </c>
      <c r="J38" s="327"/>
      <c r="K38" s="317"/>
      <c r="L38" s="317"/>
      <c r="M38" s="318"/>
      <c r="N38" s="327"/>
      <c r="O38" s="317"/>
      <c r="P38" s="317"/>
      <c r="Q38" s="318"/>
      <c r="R38" s="327">
        <v>-2491452</v>
      </c>
      <c r="S38" s="317">
        <v>-2223656</v>
      </c>
      <c r="T38" s="317"/>
      <c r="U38" s="318"/>
      <c r="V38" s="327"/>
      <c r="W38" s="317"/>
      <c r="X38" s="317"/>
      <c r="Y38" s="318"/>
      <c r="Z38" s="327"/>
      <c r="AA38" s="317"/>
      <c r="AB38" s="317"/>
      <c r="AC38" s="318"/>
      <c r="AD38" s="327">
        <v>-317628</v>
      </c>
      <c r="AE38" s="317">
        <v>-1554173</v>
      </c>
      <c r="AF38" s="317">
        <v>-2019869</v>
      </c>
      <c r="AG38" s="318">
        <v>-1554173</v>
      </c>
      <c r="AH38" s="327">
        <v>1601451</v>
      </c>
      <c r="AI38" s="317">
        <v>757707</v>
      </c>
      <c r="AJ38" s="317">
        <v>1601451</v>
      </c>
      <c r="AK38" s="318">
        <v>757707</v>
      </c>
      <c r="AL38" s="327"/>
      <c r="AM38" s="317"/>
      <c r="AN38" s="317"/>
      <c r="AO38" s="754"/>
      <c r="AP38" s="328"/>
      <c r="AQ38" s="317"/>
      <c r="AR38" s="317"/>
      <c r="AS38" s="754"/>
      <c r="AT38" s="328"/>
      <c r="AU38" s="317"/>
      <c r="AV38" s="317"/>
      <c r="AW38" s="754"/>
      <c r="AX38" s="321"/>
      <c r="AY38" s="322"/>
      <c r="AZ38" s="322"/>
      <c r="BA38" s="749"/>
      <c r="BB38" s="328"/>
      <c r="BC38" s="317"/>
      <c r="BD38" s="317"/>
      <c r="BE38" s="318"/>
      <c r="BF38" s="327"/>
      <c r="BG38" s="317"/>
      <c r="BH38" s="317"/>
      <c r="BI38" s="318"/>
      <c r="BJ38" s="758"/>
      <c r="BK38" s="319"/>
      <c r="BL38" s="319"/>
      <c r="BM38" s="318"/>
      <c r="BN38" s="327"/>
      <c r="BO38" s="317"/>
      <c r="BP38" s="317"/>
      <c r="BQ38" s="318"/>
      <c r="BR38" s="327">
        <v>793569</v>
      </c>
      <c r="BS38" s="317">
        <v>814655</v>
      </c>
      <c r="BT38" s="317">
        <v>793569</v>
      </c>
      <c r="BU38" s="318">
        <v>814655</v>
      </c>
      <c r="BV38" s="316"/>
      <c r="BW38" s="317"/>
      <c r="BX38" s="317"/>
      <c r="BY38" s="318"/>
      <c r="BZ38" s="327"/>
      <c r="CA38" s="317"/>
      <c r="CB38" s="317"/>
      <c r="CC38" s="318"/>
      <c r="CD38" s="758"/>
      <c r="CE38" s="319"/>
      <c r="CF38" s="319"/>
      <c r="CG38" s="320"/>
      <c r="CH38" s="321"/>
      <c r="CI38" s="322"/>
      <c r="CJ38" s="322"/>
      <c r="CK38" s="323"/>
      <c r="CL38" s="328"/>
      <c r="CM38" s="317"/>
      <c r="CN38" s="317"/>
      <c r="CO38" s="318"/>
      <c r="CP38" s="314">
        <f t="shared" si="2"/>
        <v>-1079581</v>
      </c>
      <c r="CQ38" s="314">
        <f t="shared" si="2"/>
        <v>-3124825</v>
      </c>
      <c r="CR38" s="314">
        <f t="shared" si="2"/>
        <v>-1118511</v>
      </c>
      <c r="CS38" s="1110">
        <f t="shared" si="2"/>
        <v>-1480878</v>
      </c>
      <c r="CT38" s="328"/>
      <c r="CU38" s="317"/>
      <c r="CV38" s="317"/>
      <c r="CW38" s="754"/>
      <c r="CX38" s="314">
        <f t="shared" si="3"/>
        <v>-1079581</v>
      </c>
      <c r="CY38" s="314">
        <f t="shared" si="3"/>
        <v>-3124825</v>
      </c>
      <c r="CZ38" s="314">
        <f t="shared" si="3"/>
        <v>-1118511</v>
      </c>
      <c r="DA38" s="329">
        <f t="shared" si="3"/>
        <v>-1480878</v>
      </c>
    </row>
    <row r="39" spans="1:105" s="1103" customFormat="1" ht="18.75" thickBot="1">
      <c r="A39" s="1539" t="s">
        <v>57</v>
      </c>
      <c r="B39" s="1093">
        <v>2571737</v>
      </c>
      <c r="C39" s="1093">
        <v>1602518</v>
      </c>
      <c r="D39" s="1093">
        <v>11003413</v>
      </c>
      <c r="E39" s="1093">
        <v>8173649</v>
      </c>
      <c r="F39" s="1094">
        <v>700439</v>
      </c>
      <c r="G39" s="1093">
        <v>763714</v>
      </c>
      <c r="H39" s="1095">
        <v>1643872</v>
      </c>
      <c r="I39" s="1093">
        <v>1926082</v>
      </c>
      <c r="J39" s="1093">
        <v>759841</v>
      </c>
      <c r="K39" s="1093">
        <v>1048343</v>
      </c>
      <c r="L39" s="1093">
        <v>3293888</v>
      </c>
      <c r="M39" s="1093">
        <v>3746426</v>
      </c>
      <c r="N39" s="1093">
        <v>4474320</v>
      </c>
      <c r="O39" s="1093">
        <v>3555723</v>
      </c>
      <c r="P39" s="1093">
        <v>15582897</v>
      </c>
      <c r="Q39" s="1093">
        <v>12063337</v>
      </c>
      <c r="R39" s="1093">
        <v>-630477</v>
      </c>
      <c r="S39" s="1093">
        <v>-87234</v>
      </c>
      <c r="T39" s="1093">
        <v>4528832</v>
      </c>
      <c r="U39" s="1093">
        <v>4173050</v>
      </c>
      <c r="V39" s="1093">
        <v>1132177</v>
      </c>
      <c r="W39" s="1093">
        <v>1075491</v>
      </c>
      <c r="X39" s="1093">
        <v>4074133</v>
      </c>
      <c r="Y39" s="1093">
        <v>3653319</v>
      </c>
      <c r="Z39" s="1093">
        <v>1196042</v>
      </c>
      <c r="AA39" s="1093">
        <v>1448305</v>
      </c>
      <c r="AB39" s="1093">
        <v>5353533</v>
      </c>
      <c r="AC39" s="1093">
        <v>6235950</v>
      </c>
      <c r="AD39" s="1093">
        <v>1264843</v>
      </c>
      <c r="AE39" s="1093">
        <v>120914</v>
      </c>
      <c r="AF39" s="1093">
        <v>3062183</v>
      </c>
      <c r="AG39" s="1093">
        <v>2371460</v>
      </c>
      <c r="AH39" s="1093">
        <v>361410</v>
      </c>
      <c r="AI39" s="1093">
        <v>1019905</v>
      </c>
      <c r="AJ39" s="1093">
        <v>5829454</v>
      </c>
      <c r="AK39" s="1093">
        <v>6130421</v>
      </c>
      <c r="AL39" s="1093">
        <v>1966668</v>
      </c>
      <c r="AM39" s="1093">
        <v>1453932</v>
      </c>
      <c r="AN39" s="1093">
        <v>6414866</v>
      </c>
      <c r="AO39" s="1093">
        <v>5418852</v>
      </c>
      <c r="AP39" s="1096">
        <v>12188863</v>
      </c>
      <c r="AQ39" s="1093">
        <v>10998258</v>
      </c>
      <c r="AR39" s="1093">
        <v>38135732</v>
      </c>
      <c r="AS39" s="1093">
        <v>31593039</v>
      </c>
      <c r="AT39" s="1097">
        <v>7731760</v>
      </c>
      <c r="AU39" s="1093">
        <v>6047486</v>
      </c>
      <c r="AV39" s="1093">
        <v>26053211</v>
      </c>
      <c r="AW39" s="1093">
        <v>20299312</v>
      </c>
      <c r="AX39" s="1097">
        <v>627564</v>
      </c>
      <c r="AY39" s="1093">
        <v>778856</v>
      </c>
      <c r="AZ39" s="1093">
        <v>2564781</v>
      </c>
      <c r="BA39" s="1093">
        <v>2599414</v>
      </c>
      <c r="BB39" s="1097">
        <v>1241779</v>
      </c>
      <c r="BC39" s="1093">
        <v>778907</v>
      </c>
      <c r="BD39" s="1093">
        <v>3420003</v>
      </c>
      <c r="BE39" s="1098">
        <v>2725051</v>
      </c>
      <c r="BF39" s="1093">
        <v>4247502</v>
      </c>
      <c r="BG39" s="1093">
        <v>3379188</v>
      </c>
      <c r="BH39" s="1093">
        <v>13297360</v>
      </c>
      <c r="BI39" s="1098">
        <v>11112579</v>
      </c>
      <c r="BJ39" s="1099">
        <v>6187996</v>
      </c>
      <c r="BK39" s="1099">
        <v>4571166</v>
      </c>
      <c r="BL39" s="1099">
        <v>19273633</v>
      </c>
      <c r="BM39" s="1098">
        <v>16098725</v>
      </c>
      <c r="BN39" s="1093"/>
      <c r="BO39" s="1093"/>
      <c r="BP39" s="1093"/>
      <c r="BQ39" s="1098"/>
      <c r="BR39" s="1093">
        <v>1297221</v>
      </c>
      <c r="BS39" s="1093">
        <v>2162807</v>
      </c>
      <c r="BT39" s="1093">
        <v>8959679</v>
      </c>
      <c r="BU39" s="1098">
        <v>8580014</v>
      </c>
      <c r="BV39" s="1093"/>
      <c r="BW39" s="1093"/>
      <c r="BX39" s="1093"/>
      <c r="BY39" s="1098"/>
      <c r="BZ39" s="1093">
        <v>6418073</v>
      </c>
      <c r="CA39" s="1093">
        <v>4842025</v>
      </c>
      <c r="CB39" s="1093">
        <v>21235030</v>
      </c>
      <c r="CC39" s="1098">
        <v>17188370</v>
      </c>
      <c r="CD39" s="1093">
        <v>1517072</v>
      </c>
      <c r="CE39" s="1093">
        <v>1306469</v>
      </c>
      <c r="CF39" s="1093">
        <v>4796030</v>
      </c>
      <c r="CG39" s="1098">
        <v>4148094</v>
      </c>
      <c r="CH39" s="1100">
        <v>752269</v>
      </c>
      <c r="CI39" s="1101">
        <v>611529</v>
      </c>
      <c r="CJ39" s="1101">
        <v>3175006</v>
      </c>
      <c r="CK39" s="1102">
        <v>2944467</v>
      </c>
      <c r="CL39" s="1100">
        <v>4102949</v>
      </c>
      <c r="CM39" s="1101">
        <f>SUM(CM5:CM38)</f>
        <v>2691213</v>
      </c>
      <c r="CN39" s="1101">
        <f>SUM(CN5:CN38)</f>
        <v>12782095</v>
      </c>
      <c r="CO39" s="1101">
        <f>SUM(CO5:CO38)</f>
        <v>8341553</v>
      </c>
      <c r="CP39" s="1097">
        <f aca="true" t="shared" si="4" ref="CP39:DA39">SUM(CP5:CP38)</f>
        <v>67677318</v>
      </c>
      <c r="CQ39" s="1093">
        <f t="shared" si="4"/>
        <v>55258763</v>
      </c>
      <c r="CR39" s="1093">
        <f t="shared" si="4"/>
        <v>223655000</v>
      </c>
      <c r="CS39" s="1093">
        <f t="shared" si="4"/>
        <v>189813461.5</v>
      </c>
      <c r="CT39" s="1097">
        <v>80112723</v>
      </c>
      <c r="CU39" s="1093">
        <v>104180097</v>
      </c>
      <c r="CV39" s="1093">
        <v>291820168</v>
      </c>
      <c r="CW39" s="1093">
        <v>301423954</v>
      </c>
      <c r="CX39" s="1097">
        <f t="shared" si="4"/>
        <v>147790044</v>
      </c>
      <c r="CY39" s="1093">
        <f t="shared" si="4"/>
        <v>159438860</v>
      </c>
      <c r="CZ39" s="1093">
        <f t="shared" si="4"/>
        <v>515475168</v>
      </c>
      <c r="DA39" s="1098">
        <f t="shared" si="4"/>
        <v>518795740.5</v>
      </c>
    </row>
  </sheetData>
  <sheetProtection/>
  <mergeCells count="29">
    <mergeCell ref="BF3:BI3"/>
    <mergeCell ref="BJ3:BM3"/>
    <mergeCell ref="BN3:BQ3"/>
    <mergeCell ref="AT3:AW3"/>
    <mergeCell ref="J3:M3"/>
    <mergeCell ref="N3:Q3"/>
    <mergeCell ref="R3:U3"/>
    <mergeCell ref="V3:Y3"/>
    <mergeCell ref="Z3:AC3"/>
    <mergeCell ref="BZ3:CC3"/>
    <mergeCell ref="CD3:CG3"/>
    <mergeCell ref="CH3:CK3"/>
    <mergeCell ref="BV3:BY3"/>
    <mergeCell ref="AD3:AG3"/>
    <mergeCell ref="AH3:AK3"/>
    <mergeCell ref="AL3:AO3"/>
    <mergeCell ref="AP3:AS3"/>
    <mergeCell ref="AX3:BA3"/>
    <mergeCell ref="BB3:BE3"/>
    <mergeCell ref="CL3:CO3"/>
    <mergeCell ref="CP3:CS3"/>
    <mergeCell ref="CT3:CW3"/>
    <mergeCell ref="A1:CY1"/>
    <mergeCell ref="A2:CY2"/>
    <mergeCell ref="A3:A4"/>
    <mergeCell ref="B3:E3"/>
    <mergeCell ref="F3:I3"/>
    <mergeCell ref="BR3:BU3"/>
    <mergeCell ref="CX3:DA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A3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W9" sqref="CW9"/>
    </sheetView>
  </sheetViews>
  <sheetFormatPr defaultColWidth="9.140625" defaultRowHeight="15"/>
  <cols>
    <col min="1" max="1" width="34.421875" style="266" customWidth="1"/>
    <col min="2" max="3" width="11.7109375" style="0" bestFit="1" customWidth="1"/>
    <col min="4" max="4" width="12.421875" style="0" bestFit="1" customWidth="1"/>
    <col min="5" max="5" width="13.28125" style="0" bestFit="1" customWidth="1"/>
    <col min="6" max="7" width="11.421875" style="0" bestFit="1" customWidth="1"/>
    <col min="8" max="8" width="11.7109375" style="0" bestFit="1" customWidth="1"/>
    <col min="9" max="9" width="12.421875" style="263" bestFit="1" customWidth="1"/>
    <col min="10" max="11" width="11.421875" style="0" bestFit="1" customWidth="1"/>
    <col min="12" max="12" width="12.421875" style="0" bestFit="1" customWidth="1"/>
    <col min="13" max="13" width="13.28125" style="0" bestFit="1" customWidth="1"/>
    <col min="14" max="15" width="11.421875" style="0" bestFit="1" customWidth="1"/>
    <col min="16" max="16" width="12.421875" style="0" bestFit="1" customWidth="1"/>
    <col min="17" max="17" width="13.28125" style="0" bestFit="1" customWidth="1"/>
    <col min="18" max="19" width="11.421875" style="0" bestFit="1" customWidth="1"/>
    <col min="20" max="21" width="12.421875" style="0" bestFit="1" customWidth="1"/>
    <col min="22" max="23" width="11.421875" style="0" bestFit="1" customWidth="1"/>
    <col min="24" max="24" width="11.7109375" style="0" bestFit="1" customWidth="1"/>
    <col min="25" max="25" width="12.421875" style="0" bestFit="1" customWidth="1"/>
    <col min="26" max="27" width="11.421875" style="0" bestFit="1" customWidth="1"/>
    <col min="28" max="28" width="11.7109375" style="0" bestFit="1" customWidth="1"/>
    <col min="29" max="29" width="12.8515625" style="0" customWidth="1"/>
    <col min="30" max="30" width="11.57421875" style="0" customWidth="1"/>
    <col min="31" max="31" width="11.421875" style="0" bestFit="1" customWidth="1"/>
    <col min="32" max="32" width="11.7109375" style="0" bestFit="1" customWidth="1"/>
    <col min="33" max="33" width="12.421875" style="0" bestFit="1" customWidth="1"/>
    <col min="34" max="35" width="11.421875" style="0" bestFit="1" customWidth="1"/>
    <col min="36" max="36" width="12.421875" style="0" bestFit="1" customWidth="1"/>
    <col min="37" max="37" width="13.28125" style="0" bestFit="1" customWidth="1"/>
    <col min="38" max="39" width="11.421875" style="0" bestFit="1" customWidth="1"/>
    <col min="40" max="40" width="11.7109375" style="0" bestFit="1" customWidth="1"/>
    <col min="41" max="41" width="12.421875" style="0" bestFit="1" customWidth="1"/>
    <col min="42" max="43" width="11.421875" style="263" bestFit="1" customWidth="1"/>
    <col min="44" max="44" width="11.7109375" style="263" bestFit="1" customWidth="1"/>
    <col min="45" max="45" width="13.28125" style="263" bestFit="1" customWidth="1"/>
    <col min="46" max="46" width="11.7109375" style="0" customWidth="1"/>
    <col min="47" max="47" width="11.421875" style="0" bestFit="1" customWidth="1"/>
    <col min="48" max="48" width="12.421875" style="0" bestFit="1" customWidth="1"/>
    <col min="49" max="49" width="13.28125" style="0" bestFit="1" customWidth="1"/>
    <col min="50" max="51" width="11.421875" style="0" bestFit="1" customWidth="1"/>
    <col min="52" max="52" width="12.421875" style="0" bestFit="1" customWidth="1"/>
    <col min="53" max="53" width="13.28125" style="0" bestFit="1" customWidth="1"/>
    <col min="54" max="55" width="11.421875" style="0" bestFit="1" customWidth="1"/>
    <col min="56" max="56" width="12.421875" style="0" bestFit="1" customWidth="1"/>
    <col min="57" max="57" width="13.28125" style="0" bestFit="1" customWidth="1"/>
    <col min="58" max="59" width="11.421875" style="0" bestFit="1" customWidth="1"/>
    <col min="60" max="60" width="12.421875" style="0" bestFit="1" customWidth="1"/>
    <col min="61" max="61" width="13.28125" style="0" bestFit="1" customWidth="1"/>
    <col min="62" max="62" width="11.00390625" style="0" customWidth="1"/>
    <col min="63" max="63" width="10.8515625" style="0" customWidth="1"/>
    <col min="64" max="64" width="12.8515625" style="0" customWidth="1"/>
    <col min="65" max="65" width="13.28125" style="0" bestFit="1" customWidth="1"/>
    <col min="66" max="66" width="10.28125" style="0" customWidth="1"/>
    <col min="67" max="67" width="11.421875" style="0" bestFit="1" customWidth="1"/>
    <col min="68" max="68" width="11.00390625" style="0" customWidth="1"/>
    <col min="69" max="69" width="13.28125" style="0" bestFit="1" customWidth="1"/>
    <col min="70" max="71" width="11.421875" style="0" bestFit="1" customWidth="1"/>
    <col min="72" max="72" width="12.421875" style="0" bestFit="1" customWidth="1"/>
    <col min="73" max="73" width="13.28125" style="0" bestFit="1" customWidth="1"/>
    <col min="74" max="75" width="11.421875" style="0" bestFit="1" customWidth="1"/>
    <col min="76" max="76" width="12.421875" style="0" bestFit="1" customWidth="1"/>
    <col min="77" max="77" width="13.28125" style="0" bestFit="1" customWidth="1"/>
    <col min="78" max="79" width="11.421875" style="0" customWidth="1"/>
    <col min="80" max="80" width="13.00390625" style="0" customWidth="1"/>
    <col min="81" max="81" width="12.421875" style="0" bestFit="1" customWidth="1"/>
    <col min="82" max="83" width="11.421875" style="263" bestFit="1" customWidth="1"/>
    <col min="84" max="84" width="12.421875" style="263" bestFit="1" customWidth="1"/>
    <col min="85" max="85" width="13.28125" style="263" bestFit="1" customWidth="1"/>
    <col min="86" max="87" width="11.421875" style="263" bestFit="1" customWidth="1"/>
    <col min="88" max="88" width="12.421875" style="263" bestFit="1" customWidth="1"/>
    <col min="89" max="89" width="13.28125" style="263" bestFit="1" customWidth="1"/>
    <col min="90" max="91" width="11.421875" style="263" bestFit="1" customWidth="1"/>
    <col min="92" max="92" width="11.7109375" style="263" bestFit="1" customWidth="1"/>
    <col min="93" max="93" width="12.421875" style="263" bestFit="1" customWidth="1"/>
    <col min="94" max="95" width="11.421875" style="264" bestFit="1" customWidth="1"/>
    <col min="96" max="97" width="12.421875" style="264" bestFit="1" customWidth="1"/>
    <col min="98" max="99" width="11.421875" style="264" bestFit="1" customWidth="1"/>
    <col min="100" max="100" width="12.421875" style="264" bestFit="1" customWidth="1"/>
    <col min="101" max="101" width="13.28125" style="264" bestFit="1" customWidth="1"/>
    <col min="102" max="103" width="11.421875" style="264" bestFit="1" customWidth="1"/>
    <col min="104" max="104" width="12.421875" style="264" bestFit="1" customWidth="1"/>
    <col min="105" max="105" width="13.28125" style="264" bestFit="1" customWidth="1"/>
  </cols>
  <sheetData>
    <row r="1" spans="1:105" s="157" customFormat="1" ht="14.25" customHeight="1">
      <c r="A1" s="1680" t="s">
        <v>186</v>
      </c>
      <c r="B1" s="1680"/>
      <c r="C1" s="1680"/>
      <c r="D1" s="1680"/>
      <c r="E1" s="1680"/>
      <c r="F1" s="1680"/>
      <c r="G1" s="1680"/>
      <c r="H1" s="1680"/>
      <c r="I1" s="1680"/>
      <c r="J1" s="1680"/>
      <c r="K1" s="1680"/>
      <c r="L1" s="1680"/>
      <c r="M1" s="1680"/>
      <c r="N1" s="1680"/>
      <c r="O1" s="1680"/>
      <c r="P1" s="1680"/>
      <c r="Q1" s="1680"/>
      <c r="R1" s="1680"/>
      <c r="S1" s="1680"/>
      <c r="T1" s="1680"/>
      <c r="U1" s="1680"/>
      <c r="V1" s="1680"/>
      <c r="W1" s="1680"/>
      <c r="X1" s="1680"/>
      <c r="Y1" s="1680"/>
      <c r="Z1" s="1680"/>
      <c r="AA1" s="1680"/>
      <c r="AB1" s="1680"/>
      <c r="AC1" s="1680"/>
      <c r="AD1" s="1680"/>
      <c r="AE1" s="1680"/>
      <c r="AF1" s="1680"/>
      <c r="AG1" s="1680"/>
      <c r="AH1" s="1680"/>
      <c r="AI1" s="1680"/>
      <c r="AJ1" s="1680"/>
      <c r="AK1" s="1680"/>
      <c r="AL1" s="1680"/>
      <c r="AM1" s="1680"/>
      <c r="AN1" s="1680"/>
      <c r="AO1" s="1680"/>
      <c r="AP1" s="1680"/>
      <c r="AQ1" s="1680"/>
      <c r="AR1" s="1680"/>
      <c r="AS1" s="1680"/>
      <c r="AT1" s="1680"/>
      <c r="AU1" s="1680"/>
      <c r="AV1" s="1680"/>
      <c r="AW1" s="1680"/>
      <c r="AX1" s="1680"/>
      <c r="AY1" s="1680"/>
      <c r="AZ1" s="1680"/>
      <c r="BA1" s="1680"/>
      <c r="BB1" s="1680"/>
      <c r="BC1" s="1680"/>
      <c r="BD1" s="1680"/>
      <c r="BE1" s="1680"/>
      <c r="BF1" s="1680"/>
      <c r="BG1" s="1680"/>
      <c r="BH1" s="1680"/>
      <c r="BI1" s="1680"/>
      <c r="BJ1" s="1680"/>
      <c r="BK1" s="1680"/>
      <c r="BL1" s="1680"/>
      <c r="BM1" s="1680"/>
      <c r="BN1" s="1680"/>
      <c r="BO1" s="1680"/>
      <c r="BP1" s="1680"/>
      <c r="BQ1" s="1680"/>
      <c r="BR1" s="1680"/>
      <c r="BS1" s="1680"/>
      <c r="BT1" s="1680"/>
      <c r="BU1" s="1680"/>
      <c r="BV1" s="1680"/>
      <c r="BW1" s="1680"/>
      <c r="BX1" s="1680"/>
      <c r="BY1" s="1680"/>
      <c r="BZ1" s="1680"/>
      <c r="CA1" s="1680"/>
      <c r="CB1" s="1680"/>
      <c r="CC1" s="1680"/>
      <c r="CD1" s="1680"/>
      <c r="CE1" s="1680"/>
      <c r="CF1" s="1680"/>
      <c r="CG1" s="1680"/>
      <c r="CH1" s="1680"/>
      <c r="CI1" s="1680"/>
      <c r="CJ1" s="1680"/>
      <c r="CK1" s="1680"/>
      <c r="CL1" s="1680"/>
      <c r="CM1" s="1680"/>
      <c r="CN1" s="1680"/>
      <c r="CO1" s="1680"/>
      <c r="CP1" s="1680"/>
      <c r="CQ1" s="1680"/>
      <c r="CR1" s="1680"/>
      <c r="CS1" s="1680"/>
      <c r="CT1" s="1680"/>
      <c r="CU1" s="1680"/>
      <c r="CV1" s="1680"/>
      <c r="CW1" s="1680"/>
      <c r="CX1" s="1680"/>
      <c r="CY1" s="1680"/>
      <c r="CZ1" s="204"/>
      <c r="DA1" s="204"/>
    </row>
    <row r="2" spans="1:105" s="157" customFormat="1" ht="14.25" customHeight="1" thickBot="1">
      <c r="A2" s="1748" t="s">
        <v>62</v>
      </c>
      <c r="B2" s="1748"/>
      <c r="C2" s="1748"/>
      <c r="D2" s="1748"/>
      <c r="E2" s="1748"/>
      <c r="F2" s="1748"/>
      <c r="G2" s="1748"/>
      <c r="H2" s="1748"/>
      <c r="I2" s="1748"/>
      <c r="J2" s="1748"/>
      <c r="K2" s="1748"/>
      <c r="L2" s="1748"/>
      <c r="M2" s="1748"/>
      <c r="N2" s="1748"/>
      <c r="O2" s="1748"/>
      <c r="P2" s="1748"/>
      <c r="Q2" s="1748"/>
      <c r="R2" s="1748"/>
      <c r="S2" s="1748"/>
      <c r="T2" s="1748"/>
      <c r="U2" s="1748"/>
      <c r="V2" s="1748"/>
      <c r="W2" s="1748"/>
      <c r="X2" s="1748"/>
      <c r="Y2" s="1748"/>
      <c r="Z2" s="1748"/>
      <c r="AA2" s="1748"/>
      <c r="AB2" s="1748"/>
      <c r="AC2" s="1748"/>
      <c r="AD2" s="1748"/>
      <c r="AE2" s="1748"/>
      <c r="AF2" s="1748"/>
      <c r="AG2" s="1748"/>
      <c r="AH2" s="1748"/>
      <c r="AI2" s="1748"/>
      <c r="AJ2" s="1748"/>
      <c r="AK2" s="1748"/>
      <c r="AL2" s="1748"/>
      <c r="AM2" s="1748"/>
      <c r="AN2" s="1748"/>
      <c r="AO2" s="1748"/>
      <c r="AP2" s="1748"/>
      <c r="AQ2" s="1748"/>
      <c r="AR2" s="1748"/>
      <c r="AS2" s="1748"/>
      <c r="AT2" s="1748"/>
      <c r="AU2" s="1748"/>
      <c r="AV2" s="1748"/>
      <c r="AW2" s="1748"/>
      <c r="AX2" s="1748"/>
      <c r="AY2" s="1748"/>
      <c r="AZ2" s="1748"/>
      <c r="BA2" s="1748"/>
      <c r="BB2" s="1748"/>
      <c r="BC2" s="1748"/>
      <c r="BD2" s="1748"/>
      <c r="BE2" s="1748"/>
      <c r="BF2" s="1748"/>
      <c r="BG2" s="1748"/>
      <c r="BH2" s="1748"/>
      <c r="BI2" s="1748"/>
      <c r="BJ2" s="1748"/>
      <c r="BK2" s="1748"/>
      <c r="BL2" s="1748"/>
      <c r="BM2" s="1748"/>
      <c r="BN2" s="1748"/>
      <c r="BO2" s="1748"/>
      <c r="BP2" s="1748"/>
      <c r="BQ2" s="1748"/>
      <c r="BR2" s="1748"/>
      <c r="BS2" s="1748"/>
      <c r="BT2" s="1748"/>
      <c r="BU2" s="1748"/>
      <c r="BV2" s="1748"/>
      <c r="BW2" s="1748"/>
      <c r="BX2" s="1748"/>
      <c r="BY2" s="1748"/>
      <c r="BZ2" s="1748"/>
      <c r="CA2" s="1748"/>
      <c r="CB2" s="1748"/>
      <c r="CC2" s="1748"/>
      <c r="CD2" s="1748"/>
      <c r="CE2" s="1748"/>
      <c r="CF2" s="1748"/>
      <c r="CG2" s="1748"/>
      <c r="CH2" s="1748"/>
      <c r="CI2" s="1748"/>
      <c r="CJ2" s="1748"/>
      <c r="CK2" s="1748"/>
      <c r="CL2" s="1748"/>
      <c r="CM2" s="1748"/>
      <c r="CN2" s="1748"/>
      <c r="CO2" s="1748"/>
      <c r="CP2" s="1748"/>
      <c r="CQ2" s="1748"/>
      <c r="CR2" s="1748"/>
      <c r="CS2" s="1748"/>
      <c r="CT2" s="1748"/>
      <c r="CU2" s="1748"/>
      <c r="CV2" s="1748"/>
      <c r="CW2" s="1748"/>
      <c r="CX2" s="1748"/>
      <c r="CY2" s="1748"/>
      <c r="CZ2" s="204"/>
      <c r="DA2" s="204"/>
    </row>
    <row r="3" spans="1:105" s="157" customFormat="1" ht="38.25" customHeight="1" thickBot="1">
      <c r="A3" s="1749" t="s">
        <v>0</v>
      </c>
      <c r="B3" s="1681" t="s">
        <v>190</v>
      </c>
      <c r="C3" s="1751"/>
      <c r="D3" s="1751"/>
      <c r="E3" s="1752"/>
      <c r="F3" s="1738" t="s">
        <v>191</v>
      </c>
      <c r="G3" s="1738"/>
      <c r="H3" s="1738"/>
      <c r="I3" s="1739"/>
      <c r="J3" s="1738" t="s">
        <v>192</v>
      </c>
      <c r="K3" s="1738"/>
      <c r="L3" s="1738"/>
      <c r="M3" s="1739"/>
      <c r="N3" s="1738" t="s">
        <v>193</v>
      </c>
      <c r="O3" s="1738"/>
      <c r="P3" s="1738"/>
      <c r="Q3" s="1739"/>
      <c r="R3" s="1738" t="s">
        <v>194</v>
      </c>
      <c r="S3" s="1738"/>
      <c r="T3" s="1738"/>
      <c r="U3" s="1739"/>
      <c r="V3" s="1738" t="s">
        <v>195</v>
      </c>
      <c r="W3" s="1738"/>
      <c r="X3" s="1738"/>
      <c r="Y3" s="1739"/>
      <c r="Z3" s="1738" t="s">
        <v>196</v>
      </c>
      <c r="AA3" s="1738"/>
      <c r="AB3" s="1738"/>
      <c r="AC3" s="1739"/>
      <c r="AD3" s="1738" t="s">
        <v>197</v>
      </c>
      <c r="AE3" s="1738"/>
      <c r="AF3" s="1738"/>
      <c r="AG3" s="1739"/>
      <c r="AH3" s="1740" t="s">
        <v>198</v>
      </c>
      <c r="AI3" s="1738"/>
      <c r="AJ3" s="1738"/>
      <c r="AK3" s="1739"/>
      <c r="AL3" s="1740" t="s">
        <v>199</v>
      </c>
      <c r="AM3" s="1738"/>
      <c r="AN3" s="1738"/>
      <c r="AO3" s="1738"/>
      <c r="AP3" s="1746" t="s">
        <v>200</v>
      </c>
      <c r="AQ3" s="1747"/>
      <c r="AR3" s="1747"/>
      <c r="AS3" s="1747"/>
      <c r="AT3" s="1740" t="s">
        <v>201</v>
      </c>
      <c r="AU3" s="1738"/>
      <c r="AV3" s="1738"/>
      <c r="AW3" s="1738"/>
      <c r="AX3" s="1740" t="s">
        <v>202</v>
      </c>
      <c r="AY3" s="1738"/>
      <c r="AZ3" s="1738"/>
      <c r="BA3" s="1738"/>
      <c r="BB3" s="1740" t="s">
        <v>203</v>
      </c>
      <c r="BC3" s="1738"/>
      <c r="BD3" s="1738"/>
      <c r="BE3" s="1738"/>
      <c r="BF3" s="1741" t="s">
        <v>204</v>
      </c>
      <c r="BG3" s="1742"/>
      <c r="BH3" s="1742"/>
      <c r="BI3" s="1742"/>
      <c r="BJ3" s="1743" t="s">
        <v>205</v>
      </c>
      <c r="BK3" s="1744"/>
      <c r="BL3" s="1744"/>
      <c r="BM3" s="1745"/>
      <c r="BN3" s="1740" t="s">
        <v>206</v>
      </c>
      <c r="BO3" s="1738"/>
      <c r="BP3" s="1738"/>
      <c r="BQ3" s="1738"/>
      <c r="BR3" s="1740" t="s">
        <v>207</v>
      </c>
      <c r="BS3" s="1738"/>
      <c r="BT3" s="1738"/>
      <c r="BU3" s="1738"/>
      <c r="BV3" s="1741" t="s">
        <v>208</v>
      </c>
      <c r="BW3" s="1742"/>
      <c r="BX3" s="1742"/>
      <c r="BY3" s="1742"/>
      <c r="BZ3" s="1740" t="s">
        <v>209</v>
      </c>
      <c r="CA3" s="1738"/>
      <c r="CB3" s="1738"/>
      <c r="CC3" s="1738"/>
      <c r="CD3" s="1746" t="s">
        <v>210</v>
      </c>
      <c r="CE3" s="1747"/>
      <c r="CF3" s="1747"/>
      <c r="CG3" s="1747"/>
      <c r="CH3" s="1746" t="s">
        <v>211</v>
      </c>
      <c r="CI3" s="1747"/>
      <c r="CJ3" s="1747"/>
      <c r="CK3" s="1747"/>
      <c r="CL3" s="1746" t="s">
        <v>212</v>
      </c>
      <c r="CM3" s="1747"/>
      <c r="CN3" s="1747"/>
      <c r="CO3" s="1747"/>
      <c r="CP3" s="1756" t="s">
        <v>1</v>
      </c>
      <c r="CQ3" s="1757"/>
      <c r="CR3" s="1757"/>
      <c r="CS3" s="1757"/>
      <c r="CT3" s="1758" t="s">
        <v>213</v>
      </c>
      <c r="CU3" s="1759"/>
      <c r="CV3" s="1759"/>
      <c r="CW3" s="1760"/>
      <c r="CX3" s="1753" t="s">
        <v>2</v>
      </c>
      <c r="CY3" s="1754"/>
      <c r="CZ3" s="1754"/>
      <c r="DA3" s="1755"/>
    </row>
    <row r="4" spans="1:105" s="1021" customFormat="1" ht="15" customHeight="1" thickBot="1">
      <c r="A4" s="1750"/>
      <c r="B4" s="1222" t="s">
        <v>285</v>
      </c>
      <c r="C4" s="1145" t="s">
        <v>286</v>
      </c>
      <c r="D4" s="1145" t="s">
        <v>345</v>
      </c>
      <c r="E4" s="1129" t="s">
        <v>288</v>
      </c>
      <c r="F4" s="1222" t="s">
        <v>285</v>
      </c>
      <c r="G4" s="1145" t="s">
        <v>286</v>
      </c>
      <c r="H4" s="1145" t="s">
        <v>345</v>
      </c>
      <c r="I4" s="1129" t="s">
        <v>288</v>
      </c>
      <c r="J4" s="1222" t="s">
        <v>285</v>
      </c>
      <c r="K4" s="1145" t="s">
        <v>286</v>
      </c>
      <c r="L4" s="1145" t="s">
        <v>345</v>
      </c>
      <c r="M4" s="1129" t="s">
        <v>288</v>
      </c>
      <c r="N4" s="1222" t="s">
        <v>285</v>
      </c>
      <c r="O4" s="1145" t="s">
        <v>286</v>
      </c>
      <c r="P4" s="1145" t="s">
        <v>345</v>
      </c>
      <c r="Q4" s="1129" t="s">
        <v>288</v>
      </c>
      <c r="R4" s="1222" t="s">
        <v>285</v>
      </c>
      <c r="S4" s="1145" t="s">
        <v>286</v>
      </c>
      <c r="T4" s="1145" t="s">
        <v>345</v>
      </c>
      <c r="U4" s="1129" t="s">
        <v>288</v>
      </c>
      <c r="V4" s="1222" t="s">
        <v>285</v>
      </c>
      <c r="W4" s="1145" t="s">
        <v>286</v>
      </c>
      <c r="X4" s="1145" t="s">
        <v>345</v>
      </c>
      <c r="Y4" s="1129" t="s">
        <v>288</v>
      </c>
      <c r="Z4" s="1222" t="s">
        <v>285</v>
      </c>
      <c r="AA4" s="1145" t="s">
        <v>286</v>
      </c>
      <c r="AB4" s="1145" t="s">
        <v>345</v>
      </c>
      <c r="AC4" s="1129" t="s">
        <v>288</v>
      </c>
      <c r="AD4" s="1222" t="s">
        <v>285</v>
      </c>
      <c r="AE4" s="1145" t="s">
        <v>286</v>
      </c>
      <c r="AF4" s="1145" t="s">
        <v>345</v>
      </c>
      <c r="AG4" s="1129" t="s">
        <v>288</v>
      </c>
      <c r="AH4" s="1222" t="s">
        <v>285</v>
      </c>
      <c r="AI4" s="1145" t="s">
        <v>286</v>
      </c>
      <c r="AJ4" s="1145" t="s">
        <v>345</v>
      </c>
      <c r="AK4" s="1129" t="s">
        <v>288</v>
      </c>
      <c r="AL4" s="1222" t="s">
        <v>285</v>
      </c>
      <c r="AM4" s="1145" t="s">
        <v>286</v>
      </c>
      <c r="AN4" s="1145" t="s">
        <v>345</v>
      </c>
      <c r="AO4" s="1129" t="s">
        <v>288</v>
      </c>
      <c r="AP4" s="1222" t="s">
        <v>285</v>
      </c>
      <c r="AQ4" s="1145" t="s">
        <v>286</v>
      </c>
      <c r="AR4" s="1145" t="s">
        <v>345</v>
      </c>
      <c r="AS4" s="1129" t="s">
        <v>288</v>
      </c>
      <c r="AT4" s="1222" t="s">
        <v>285</v>
      </c>
      <c r="AU4" s="1145" t="s">
        <v>286</v>
      </c>
      <c r="AV4" s="1145" t="s">
        <v>345</v>
      </c>
      <c r="AW4" s="1129" t="s">
        <v>288</v>
      </c>
      <c r="AX4" s="1222" t="s">
        <v>285</v>
      </c>
      <c r="AY4" s="1145" t="s">
        <v>286</v>
      </c>
      <c r="AZ4" s="1145" t="s">
        <v>345</v>
      </c>
      <c r="BA4" s="1129" t="s">
        <v>288</v>
      </c>
      <c r="BB4" s="1222" t="s">
        <v>285</v>
      </c>
      <c r="BC4" s="1145" t="s">
        <v>286</v>
      </c>
      <c r="BD4" s="1145" t="s">
        <v>287</v>
      </c>
      <c r="BE4" s="1129" t="s">
        <v>288</v>
      </c>
      <c r="BF4" s="1222" t="s">
        <v>285</v>
      </c>
      <c r="BG4" s="1145" t="s">
        <v>286</v>
      </c>
      <c r="BH4" s="1145" t="s">
        <v>345</v>
      </c>
      <c r="BI4" s="1129" t="s">
        <v>288</v>
      </c>
      <c r="BJ4" s="1222" t="s">
        <v>285</v>
      </c>
      <c r="BK4" s="1145" t="s">
        <v>286</v>
      </c>
      <c r="BL4" s="1145" t="s">
        <v>345</v>
      </c>
      <c r="BM4" s="1129" t="s">
        <v>288</v>
      </c>
      <c r="BN4" s="1222" t="s">
        <v>285</v>
      </c>
      <c r="BO4" s="1145" t="s">
        <v>286</v>
      </c>
      <c r="BP4" s="1145" t="s">
        <v>345</v>
      </c>
      <c r="BQ4" s="1129" t="s">
        <v>288</v>
      </c>
      <c r="BR4" s="1222" t="s">
        <v>285</v>
      </c>
      <c r="BS4" s="1145" t="s">
        <v>286</v>
      </c>
      <c r="BT4" s="1145" t="s">
        <v>345</v>
      </c>
      <c r="BU4" s="1129" t="s">
        <v>288</v>
      </c>
      <c r="BV4" s="1222" t="s">
        <v>285</v>
      </c>
      <c r="BW4" s="1145" t="s">
        <v>286</v>
      </c>
      <c r="BX4" s="1145" t="s">
        <v>345</v>
      </c>
      <c r="BY4" s="1129" t="s">
        <v>288</v>
      </c>
      <c r="BZ4" s="1222" t="s">
        <v>285</v>
      </c>
      <c r="CA4" s="1145" t="s">
        <v>286</v>
      </c>
      <c r="CB4" s="1145" t="s">
        <v>345</v>
      </c>
      <c r="CC4" s="1129" t="s">
        <v>288</v>
      </c>
      <c r="CD4" s="1222" t="s">
        <v>285</v>
      </c>
      <c r="CE4" s="1145" t="s">
        <v>286</v>
      </c>
      <c r="CF4" s="1145" t="s">
        <v>345</v>
      </c>
      <c r="CG4" s="1129" t="s">
        <v>288</v>
      </c>
      <c r="CH4" s="1222" t="s">
        <v>285</v>
      </c>
      <c r="CI4" s="1145" t="s">
        <v>286</v>
      </c>
      <c r="CJ4" s="1145" t="s">
        <v>345</v>
      </c>
      <c r="CK4" s="1129" t="s">
        <v>288</v>
      </c>
      <c r="CL4" s="1222" t="s">
        <v>285</v>
      </c>
      <c r="CM4" s="1145" t="s">
        <v>286</v>
      </c>
      <c r="CN4" s="1145" t="s">
        <v>345</v>
      </c>
      <c r="CO4" s="1129" t="s">
        <v>288</v>
      </c>
      <c r="CP4" s="1222" t="s">
        <v>285</v>
      </c>
      <c r="CQ4" s="1145" t="s">
        <v>286</v>
      </c>
      <c r="CR4" s="1145" t="s">
        <v>345</v>
      </c>
      <c r="CS4" s="1129" t="s">
        <v>288</v>
      </c>
      <c r="CT4" s="1222" t="s">
        <v>285</v>
      </c>
      <c r="CU4" s="1145" t="s">
        <v>286</v>
      </c>
      <c r="CV4" s="1145" t="s">
        <v>345</v>
      </c>
      <c r="CW4" s="1129" t="s">
        <v>288</v>
      </c>
      <c r="CX4" s="1222" t="s">
        <v>285</v>
      </c>
      <c r="CY4" s="1145" t="s">
        <v>286</v>
      </c>
      <c r="CZ4" s="1145" t="s">
        <v>345</v>
      </c>
      <c r="DA4" s="1129" t="s">
        <v>288</v>
      </c>
    </row>
    <row r="5" spans="1:105" s="162" customFormat="1" ht="15" customHeight="1" thickBot="1">
      <c r="A5" s="267" t="s">
        <v>33</v>
      </c>
      <c r="B5" s="268"/>
      <c r="C5" s="269"/>
      <c r="D5" s="269"/>
      <c r="E5" s="270"/>
      <c r="F5" s="271"/>
      <c r="G5" s="269"/>
      <c r="H5" s="269"/>
      <c r="I5" s="272"/>
      <c r="J5" s="273"/>
      <c r="K5" s="274"/>
      <c r="L5" s="274"/>
      <c r="M5" s="272"/>
      <c r="N5" s="273"/>
      <c r="O5" s="274"/>
      <c r="P5" s="274"/>
      <c r="Q5" s="272"/>
      <c r="R5" s="273"/>
      <c r="S5" s="274"/>
      <c r="T5" s="274"/>
      <c r="U5" s="272"/>
      <c r="V5" s="273"/>
      <c r="W5" s="274"/>
      <c r="X5" s="274"/>
      <c r="Y5" s="272"/>
      <c r="Z5" s="273"/>
      <c r="AA5" s="274"/>
      <c r="AB5" s="274"/>
      <c r="AC5" s="272"/>
      <c r="AD5" s="271"/>
      <c r="AE5" s="269"/>
      <c r="AF5" s="269"/>
      <c r="AG5" s="270"/>
      <c r="AH5" s="268"/>
      <c r="AI5" s="269"/>
      <c r="AJ5" s="269"/>
      <c r="AK5" s="270"/>
      <c r="AL5" s="268"/>
      <c r="AM5" s="269"/>
      <c r="AN5" s="269"/>
      <c r="AO5" s="275"/>
      <c r="AP5" s="276"/>
      <c r="AQ5" s="274"/>
      <c r="AR5" s="274"/>
      <c r="AS5" s="277"/>
      <c r="AT5" s="268"/>
      <c r="AU5" s="269"/>
      <c r="AV5" s="269"/>
      <c r="AW5" s="275"/>
      <c r="AX5" s="268"/>
      <c r="AY5" s="269"/>
      <c r="AZ5" s="269"/>
      <c r="BA5" s="275"/>
      <c r="BB5" s="268"/>
      <c r="BC5" s="269"/>
      <c r="BD5" s="269"/>
      <c r="BE5" s="275"/>
      <c r="BF5" s="268"/>
      <c r="BG5" s="269"/>
      <c r="BH5" s="269"/>
      <c r="BI5" s="275"/>
      <c r="BJ5" s="268"/>
      <c r="BK5" s="269"/>
      <c r="BL5" s="269"/>
      <c r="BM5" s="275"/>
      <c r="BN5" s="268"/>
      <c r="BO5" s="269"/>
      <c r="BP5" s="269"/>
      <c r="BQ5" s="275"/>
      <c r="BR5" s="268"/>
      <c r="BS5" s="269"/>
      <c r="BT5" s="269"/>
      <c r="BU5" s="275"/>
      <c r="BV5" s="362"/>
      <c r="BW5" s="363"/>
      <c r="BX5" s="363"/>
      <c r="BY5" s="364"/>
      <c r="BZ5" s="368"/>
      <c r="CA5" s="369"/>
      <c r="CB5" s="369"/>
      <c r="CC5" s="370"/>
      <c r="CD5" s="276"/>
      <c r="CE5" s="274"/>
      <c r="CF5" s="274"/>
      <c r="CG5" s="277"/>
      <c r="CH5" s="276"/>
      <c r="CI5" s="274"/>
      <c r="CJ5" s="274"/>
      <c r="CK5" s="277"/>
      <c r="CL5" s="276"/>
      <c r="CM5" s="274"/>
      <c r="CN5" s="274"/>
      <c r="CO5" s="277"/>
      <c r="CP5" s="276"/>
      <c r="CQ5" s="274"/>
      <c r="CR5" s="274"/>
      <c r="CS5" s="277"/>
      <c r="CT5" s="276"/>
      <c r="CU5" s="274"/>
      <c r="CV5" s="274"/>
      <c r="CW5" s="272"/>
      <c r="CX5" s="276"/>
      <c r="CY5" s="274"/>
      <c r="CZ5" s="278"/>
      <c r="DA5" s="279"/>
    </row>
    <row r="6" spans="1:105" s="162" customFormat="1" ht="14.25">
      <c r="A6" s="199" t="s">
        <v>34</v>
      </c>
      <c r="B6" s="205">
        <v>1283761</v>
      </c>
      <c r="C6" s="163">
        <v>1290449</v>
      </c>
      <c r="D6" s="163">
        <v>4699095</v>
      </c>
      <c r="E6" s="164">
        <v>4393886</v>
      </c>
      <c r="F6" s="206">
        <v>243258</v>
      </c>
      <c r="G6" s="166">
        <v>136849</v>
      </c>
      <c r="H6" s="166">
        <v>804009</v>
      </c>
      <c r="I6" s="171">
        <v>476131</v>
      </c>
      <c r="J6" s="207">
        <v>281624</v>
      </c>
      <c r="K6" s="170">
        <v>270284</v>
      </c>
      <c r="L6" s="170">
        <v>971246</v>
      </c>
      <c r="M6" s="171">
        <v>993120</v>
      </c>
      <c r="N6" s="207">
        <v>2742597</v>
      </c>
      <c r="O6" s="170">
        <v>2857454</v>
      </c>
      <c r="P6" s="170">
        <v>10447842</v>
      </c>
      <c r="Q6" s="171">
        <v>11179605</v>
      </c>
      <c r="R6" s="207">
        <v>278925</v>
      </c>
      <c r="S6" s="170">
        <v>247236</v>
      </c>
      <c r="T6" s="170">
        <v>928469</v>
      </c>
      <c r="U6" s="171">
        <v>762208</v>
      </c>
      <c r="V6" s="207">
        <v>395574</v>
      </c>
      <c r="W6" s="170">
        <v>204228</v>
      </c>
      <c r="X6" s="170">
        <v>1363533</v>
      </c>
      <c r="Y6" s="171">
        <v>727643</v>
      </c>
      <c r="Z6" s="207">
        <v>918336</v>
      </c>
      <c r="AA6" s="170">
        <v>787236</v>
      </c>
      <c r="AB6" s="207">
        <v>3278681</v>
      </c>
      <c r="AC6" s="171">
        <v>2072223</v>
      </c>
      <c r="AD6" s="206">
        <v>123526</v>
      </c>
      <c r="AE6" s="166">
        <v>151214</v>
      </c>
      <c r="AF6" s="166">
        <v>523642</v>
      </c>
      <c r="AG6" s="167">
        <v>503540</v>
      </c>
      <c r="AH6" s="165">
        <v>372247</v>
      </c>
      <c r="AI6" s="166">
        <v>1972844</v>
      </c>
      <c r="AJ6" s="166">
        <v>530362</v>
      </c>
      <c r="AK6" s="167">
        <v>2096936</v>
      </c>
      <c r="AL6" s="165">
        <v>299660</v>
      </c>
      <c r="AM6" s="166">
        <v>183494</v>
      </c>
      <c r="AN6" s="166">
        <v>929207</v>
      </c>
      <c r="AO6" s="168">
        <v>885138</v>
      </c>
      <c r="AP6" s="169">
        <v>5312181</v>
      </c>
      <c r="AQ6" s="170">
        <v>3368195</v>
      </c>
      <c r="AR6" s="170">
        <v>15326340</v>
      </c>
      <c r="AS6" s="186">
        <v>10366284</v>
      </c>
      <c r="AT6" s="165">
        <v>2870023</v>
      </c>
      <c r="AU6" s="166">
        <v>2278854</v>
      </c>
      <c r="AV6" s="166">
        <v>10939284</v>
      </c>
      <c r="AW6" s="168">
        <v>8641145</v>
      </c>
      <c r="AX6" s="172">
        <v>316747</v>
      </c>
      <c r="AY6" s="173">
        <v>185260</v>
      </c>
      <c r="AZ6" s="173">
        <v>773483</v>
      </c>
      <c r="BA6" s="208">
        <v>727119</v>
      </c>
      <c r="BB6" s="165">
        <v>974032</v>
      </c>
      <c r="BC6" s="166">
        <v>645955</v>
      </c>
      <c r="BD6" s="166">
        <v>2918579</v>
      </c>
      <c r="BE6" s="168">
        <v>2351545</v>
      </c>
      <c r="BF6" s="165">
        <v>1894626</v>
      </c>
      <c r="BG6" s="166">
        <v>1476336</v>
      </c>
      <c r="BH6" s="166">
        <v>6559649</v>
      </c>
      <c r="BI6" s="168">
        <v>5427506</v>
      </c>
      <c r="BJ6" s="165">
        <v>1995796</v>
      </c>
      <c r="BK6" s="166">
        <v>1524807</v>
      </c>
      <c r="BL6" s="166">
        <v>6548772</v>
      </c>
      <c r="BM6" s="209">
        <v>5265903</v>
      </c>
      <c r="BN6" s="165">
        <v>945280</v>
      </c>
      <c r="BO6" s="166">
        <v>710058</v>
      </c>
      <c r="BP6" s="166">
        <v>3465631</v>
      </c>
      <c r="BQ6" s="168">
        <v>3168596</v>
      </c>
      <c r="BR6" s="165">
        <v>485911</v>
      </c>
      <c r="BS6" s="166">
        <v>508762</v>
      </c>
      <c r="BT6" s="166">
        <v>1940272</v>
      </c>
      <c r="BU6" s="168">
        <v>1844834</v>
      </c>
      <c r="BV6" s="175"/>
      <c r="BW6" s="166"/>
      <c r="BX6" s="166"/>
      <c r="BY6" s="168"/>
      <c r="BZ6" s="371">
        <v>3949311</v>
      </c>
      <c r="CA6" s="372">
        <v>4024349</v>
      </c>
      <c r="CB6" s="372">
        <v>15596390</v>
      </c>
      <c r="CC6" s="373">
        <v>13587550</v>
      </c>
      <c r="CD6" s="365">
        <v>778664</v>
      </c>
      <c r="CE6" s="193">
        <v>782485</v>
      </c>
      <c r="CF6" s="193">
        <v>2516963</v>
      </c>
      <c r="CG6" s="210">
        <v>2240713</v>
      </c>
      <c r="CH6" s="194">
        <v>467962</v>
      </c>
      <c r="CI6" s="195">
        <v>442185</v>
      </c>
      <c r="CJ6" s="195">
        <v>1655347</v>
      </c>
      <c r="CK6" s="211">
        <v>1445689</v>
      </c>
      <c r="CL6" s="169">
        <v>891772</v>
      </c>
      <c r="CM6" s="170">
        <v>697584</v>
      </c>
      <c r="CN6" s="170">
        <v>2487468</v>
      </c>
      <c r="CO6" s="186">
        <v>2272930</v>
      </c>
      <c r="CP6" s="197">
        <f>SUM(B6+F6+J6+N6+R6+V6+Z6+AD6+AH6+AL6+AP6+AT6+AX6+BB6+BF6+BJ6+BN6+BR6+BV6+BZ6+CD6+CH6+CL6)</f>
        <v>27821813</v>
      </c>
      <c r="CQ6" s="212">
        <f aca="true" t="shared" si="0" ref="CQ6:CS21">SUM(C6+G6+K6+O6+S6+W6+AA6+AE6+AI6+AM6+AQ6+AU6+AY6+BC6+BG6+BK6+BO6+BS6+BW6+CA6+CE6+CI6+CM6)</f>
        <v>24746118</v>
      </c>
      <c r="CR6" s="212">
        <f t="shared" si="0"/>
        <v>95204264</v>
      </c>
      <c r="CS6" s="213">
        <f t="shared" si="0"/>
        <v>81430244</v>
      </c>
      <c r="CT6" s="194">
        <v>47165223</v>
      </c>
      <c r="CU6" s="195">
        <v>39443576</v>
      </c>
      <c r="CV6" s="195">
        <v>170750586</v>
      </c>
      <c r="CW6" s="196">
        <v>143342124</v>
      </c>
      <c r="CX6" s="197">
        <f>CP6+CT6</f>
        <v>74987036</v>
      </c>
      <c r="CY6" s="212">
        <f aca="true" t="shared" si="1" ref="CY6:DA21">CQ6+CU6</f>
        <v>64189694</v>
      </c>
      <c r="CZ6" s="212">
        <f t="shared" si="1"/>
        <v>265954850</v>
      </c>
      <c r="DA6" s="214">
        <f t="shared" si="1"/>
        <v>224772368</v>
      </c>
    </row>
    <row r="7" spans="1:105" s="162" customFormat="1" ht="14.25">
      <c r="A7" s="199" t="s">
        <v>35</v>
      </c>
      <c r="B7" s="205">
        <v>3433165</v>
      </c>
      <c r="C7" s="163">
        <v>1416663</v>
      </c>
      <c r="D7" s="163">
        <v>8001336</v>
      </c>
      <c r="E7" s="164">
        <v>2792610</v>
      </c>
      <c r="F7" s="206">
        <v>60399</v>
      </c>
      <c r="G7" s="166">
        <v>1034</v>
      </c>
      <c r="H7" s="166">
        <v>95368</v>
      </c>
      <c r="I7" s="171">
        <v>1336</v>
      </c>
      <c r="J7" s="207">
        <v>686039</v>
      </c>
      <c r="K7" s="170">
        <v>1027274</v>
      </c>
      <c r="L7" s="170">
        <v>2024632</v>
      </c>
      <c r="M7" s="171">
        <v>2430132</v>
      </c>
      <c r="N7" s="207">
        <v>4789853</v>
      </c>
      <c r="O7" s="170">
        <v>10304879</v>
      </c>
      <c r="P7" s="170">
        <v>15786356</v>
      </c>
      <c r="Q7" s="171">
        <v>21950772</v>
      </c>
      <c r="R7" s="207">
        <v>184299</v>
      </c>
      <c r="S7" s="170">
        <v>169388</v>
      </c>
      <c r="T7" s="170">
        <v>499542</v>
      </c>
      <c r="U7" s="171">
        <v>401053</v>
      </c>
      <c r="V7" s="207">
        <v>84531</v>
      </c>
      <c r="W7" s="170">
        <v>1313</v>
      </c>
      <c r="X7" s="170">
        <v>122843</v>
      </c>
      <c r="Y7" s="171">
        <v>3126</v>
      </c>
      <c r="Z7" s="207">
        <v>5541</v>
      </c>
      <c r="AA7" s="170"/>
      <c r="AB7" s="207">
        <v>7592</v>
      </c>
      <c r="AC7" s="171">
        <v>27</v>
      </c>
      <c r="AD7" s="206"/>
      <c r="AE7" s="166"/>
      <c r="AF7" s="166"/>
      <c r="AG7" s="167"/>
      <c r="AH7" s="165">
        <v>1626057</v>
      </c>
      <c r="AI7" s="166">
        <v>4899898</v>
      </c>
      <c r="AJ7" s="166">
        <v>1772259</v>
      </c>
      <c r="AK7" s="167">
        <v>4583949</v>
      </c>
      <c r="AL7" s="165">
        <v>441041</v>
      </c>
      <c r="AM7" s="166">
        <v>381949</v>
      </c>
      <c r="AN7" s="166">
        <v>843930</v>
      </c>
      <c r="AO7" s="168">
        <v>675401</v>
      </c>
      <c r="AP7" s="169">
        <v>11502508</v>
      </c>
      <c r="AQ7" s="170">
        <v>5337626</v>
      </c>
      <c r="AR7" s="170">
        <v>26559724</v>
      </c>
      <c r="AS7" s="186">
        <v>17587477</v>
      </c>
      <c r="AT7" s="165">
        <v>7518564</v>
      </c>
      <c r="AU7" s="166">
        <v>12763860</v>
      </c>
      <c r="AV7" s="166">
        <v>22735868</v>
      </c>
      <c r="AW7" s="168">
        <v>33584374</v>
      </c>
      <c r="AX7" s="172">
        <v>824976</v>
      </c>
      <c r="AY7" s="173">
        <v>153518</v>
      </c>
      <c r="AZ7" s="173">
        <v>1862900</v>
      </c>
      <c r="BA7" s="208">
        <v>243257</v>
      </c>
      <c r="BB7" s="165">
        <v>114484</v>
      </c>
      <c r="BC7" s="166">
        <v>97682</v>
      </c>
      <c r="BD7" s="166">
        <v>271888</v>
      </c>
      <c r="BE7" s="168">
        <v>311540</v>
      </c>
      <c r="BF7" s="165">
        <v>3320235</v>
      </c>
      <c r="BG7" s="166">
        <v>4280742</v>
      </c>
      <c r="BH7" s="166">
        <v>12492619</v>
      </c>
      <c r="BI7" s="168">
        <v>8093080</v>
      </c>
      <c r="BJ7" s="165">
        <v>3322219</v>
      </c>
      <c r="BK7" s="166">
        <v>3252565</v>
      </c>
      <c r="BL7" s="166">
        <v>12560176</v>
      </c>
      <c r="BM7" s="209">
        <v>9966807</v>
      </c>
      <c r="BN7" s="165">
        <v>597540</v>
      </c>
      <c r="BO7" s="166">
        <v>398557</v>
      </c>
      <c r="BP7" s="166">
        <v>1551604</v>
      </c>
      <c r="BQ7" s="168">
        <v>801321</v>
      </c>
      <c r="BR7" s="165">
        <v>1715466</v>
      </c>
      <c r="BS7" s="166">
        <v>2480194</v>
      </c>
      <c r="BT7" s="166">
        <v>6240762</v>
      </c>
      <c r="BU7" s="168">
        <v>5585748</v>
      </c>
      <c r="BV7" s="175"/>
      <c r="BW7" s="166"/>
      <c r="BX7" s="166"/>
      <c r="BY7" s="168"/>
      <c r="BZ7" s="374">
        <v>34960126</v>
      </c>
      <c r="CA7" s="367">
        <v>5041555</v>
      </c>
      <c r="CB7" s="367">
        <v>44358880</v>
      </c>
      <c r="CC7" s="375">
        <v>12682757</v>
      </c>
      <c r="CD7" s="365">
        <v>410866</v>
      </c>
      <c r="CE7" s="193">
        <v>134021</v>
      </c>
      <c r="CF7" s="193">
        <v>619120</v>
      </c>
      <c r="CG7" s="210">
        <v>224807</v>
      </c>
      <c r="CH7" s="194">
        <v>469283</v>
      </c>
      <c r="CI7" s="195">
        <v>707053</v>
      </c>
      <c r="CJ7" s="195">
        <v>2058999</v>
      </c>
      <c r="CK7" s="211">
        <v>2561484</v>
      </c>
      <c r="CL7" s="169">
        <v>2349273</v>
      </c>
      <c r="CM7" s="170">
        <v>582411</v>
      </c>
      <c r="CN7" s="170">
        <v>3518112</v>
      </c>
      <c r="CO7" s="186">
        <v>1681481</v>
      </c>
      <c r="CP7" s="197">
        <f>SUM(B7+F7+J7+N7+R7+V7+Z7+AD7+AH7+AL7+AP7+AT7+AX7+BB7+BF7+BJ7+BN7+BR7+BV7+BZ7+CD7+CH7+CL7)</f>
        <v>78416465</v>
      </c>
      <c r="CQ7" s="212">
        <f t="shared" si="0"/>
        <v>53432182</v>
      </c>
      <c r="CR7" s="212">
        <f t="shared" si="0"/>
        <v>163984510</v>
      </c>
      <c r="CS7" s="213">
        <f t="shared" si="0"/>
        <v>126162539</v>
      </c>
      <c r="CT7" s="194">
        <v>584808223</v>
      </c>
      <c r="CU7" s="195">
        <v>522992029</v>
      </c>
      <c r="CV7" s="195">
        <v>1514460481</v>
      </c>
      <c r="CW7" s="196">
        <v>1212793893</v>
      </c>
      <c r="CX7" s="197">
        <f>CP7+CT7</f>
        <v>663224688</v>
      </c>
      <c r="CY7" s="212">
        <f t="shared" si="1"/>
        <v>576424211</v>
      </c>
      <c r="CZ7" s="212">
        <f t="shared" si="1"/>
        <v>1678444991</v>
      </c>
      <c r="DA7" s="214">
        <f t="shared" si="1"/>
        <v>1338956432</v>
      </c>
    </row>
    <row r="8" spans="1:105" s="162" customFormat="1" ht="14.25">
      <c r="A8" s="199" t="s">
        <v>36</v>
      </c>
      <c r="B8" s="205">
        <v>26658</v>
      </c>
      <c r="C8" s="163">
        <v>24131</v>
      </c>
      <c r="D8" s="163">
        <v>71898</v>
      </c>
      <c r="E8" s="164">
        <v>57369</v>
      </c>
      <c r="F8" s="206">
        <v>32</v>
      </c>
      <c r="G8" s="166">
        <v>32</v>
      </c>
      <c r="H8" s="166">
        <v>151</v>
      </c>
      <c r="I8" s="171">
        <v>137</v>
      </c>
      <c r="J8" s="207">
        <v>206174</v>
      </c>
      <c r="K8" s="170">
        <v>136236</v>
      </c>
      <c r="L8" s="170">
        <v>857434</v>
      </c>
      <c r="M8" s="171">
        <v>714770</v>
      </c>
      <c r="N8" s="207">
        <v>47302</v>
      </c>
      <c r="O8" s="170">
        <v>41735</v>
      </c>
      <c r="P8" s="170">
        <v>185930</v>
      </c>
      <c r="Q8" s="171">
        <v>178421</v>
      </c>
      <c r="R8" s="207"/>
      <c r="S8" s="170"/>
      <c r="T8" s="170"/>
      <c r="U8" s="171"/>
      <c r="V8" s="207">
        <v>27891</v>
      </c>
      <c r="W8" s="170">
        <v>23111</v>
      </c>
      <c r="X8" s="170">
        <v>51424</v>
      </c>
      <c r="Y8" s="171">
        <v>41239</v>
      </c>
      <c r="Z8" s="207"/>
      <c r="AA8" s="170"/>
      <c r="AB8" s="170"/>
      <c r="AC8" s="171"/>
      <c r="AD8" s="206">
        <v>5601</v>
      </c>
      <c r="AE8" s="166">
        <v>3217</v>
      </c>
      <c r="AF8" s="166">
        <v>16186</v>
      </c>
      <c r="AG8" s="167">
        <v>10404</v>
      </c>
      <c r="AH8" s="165">
        <v>9561</v>
      </c>
      <c r="AI8" s="166">
        <v>28416</v>
      </c>
      <c r="AJ8" s="166">
        <v>7736</v>
      </c>
      <c r="AK8" s="167">
        <v>21936</v>
      </c>
      <c r="AL8" s="165">
        <v>979</v>
      </c>
      <c r="AM8" s="166">
        <v>872</v>
      </c>
      <c r="AN8" s="166">
        <v>2431</v>
      </c>
      <c r="AO8" s="168">
        <v>3564</v>
      </c>
      <c r="AP8" s="169">
        <v>619718</v>
      </c>
      <c r="AQ8" s="170">
        <v>296991</v>
      </c>
      <c r="AR8" s="170">
        <v>1632085</v>
      </c>
      <c r="AS8" s="186">
        <v>836882</v>
      </c>
      <c r="AT8" s="165">
        <v>514267</v>
      </c>
      <c r="AU8" s="166">
        <v>421850</v>
      </c>
      <c r="AV8" s="166">
        <v>1769109</v>
      </c>
      <c r="AW8" s="168">
        <v>1522440</v>
      </c>
      <c r="AX8" s="172"/>
      <c r="AY8" s="173"/>
      <c r="AZ8" s="173"/>
      <c r="BA8" s="208"/>
      <c r="BB8" s="165">
        <v>116</v>
      </c>
      <c r="BC8" s="166">
        <v>50</v>
      </c>
      <c r="BD8" s="166">
        <v>248</v>
      </c>
      <c r="BE8" s="168">
        <v>139</v>
      </c>
      <c r="BF8" s="165">
        <v>25104</v>
      </c>
      <c r="BG8" s="166">
        <v>14265</v>
      </c>
      <c r="BH8" s="166">
        <v>65831</v>
      </c>
      <c r="BI8" s="168">
        <v>39983</v>
      </c>
      <c r="BJ8" s="165">
        <v>22912</v>
      </c>
      <c r="BK8" s="166">
        <v>20489</v>
      </c>
      <c r="BL8" s="166">
        <v>73186</v>
      </c>
      <c r="BM8" s="209">
        <v>67911</v>
      </c>
      <c r="BN8" s="165">
        <v>38891</v>
      </c>
      <c r="BO8" s="166">
        <v>70943</v>
      </c>
      <c r="BP8" s="166">
        <v>206398</v>
      </c>
      <c r="BQ8" s="168">
        <v>201838</v>
      </c>
      <c r="BR8" s="165">
        <v>9077</v>
      </c>
      <c r="BS8" s="166">
        <v>4920</v>
      </c>
      <c r="BT8" s="166">
        <v>24449</v>
      </c>
      <c r="BU8" s="168">
        <v>18441</v>
      </c>
      <c r="BV8" s="175"/>
      <c r="BW8" s="166"/>
      <c r="BX8" s="166"/>
      <c r="BY8" s="168"/>
      <c r="BZ8" s="374">
        <v>478296</v>
      </c>
      <c r="CA8" s="367">
        <v>484165</v>
      </c>
      <c r="CB8" s="367">
        <v>1819920</v>
      </c>
      <c r="CC8" s="375">
        <v>1738810</v>
      </c>
      <c r="CD8" s="365">
        <v>762</v>
      </c>
      <c r="CE8" s="193">
        <v>936</v>
      </c>
      <c r="CF8" s="193">
        <v>3273</v>
      </c>
      <c r="CG8" s="210">
        <v>2130</v>
      </c>
      <c r="CH8" s="194">
        <v>26459</v>
      </c>
      <c r="CI8" s="195">
        <v>25859</v>
      </c>
      <c r="CJ8" s="195">
        <v>117733</v>
      </c>
      <c r="CK8" s="211">
        <v>110419</v>
      </c>
      <c r="CL8" s="169">
        <v>6321</v>
      </c>
      <c r="CM8" s="170">
        <v>6132</v>
      </c>
      <c r="CN8" s="170">
        <v>23829</v>
      </c>
      <c r="CO8" s="186">
        <v>24103</v>
      </c>
      <c r="CP8" s="197">
        <f>SUM(B8+F8+J8+N8+R8+V8+Z8+AD8+AH8+AL8+AP8+AT8+AX8+BB8+BF8+BJ8+BN8+BR8+BV8+BZ8+CD8+CH8+CL8)</f>
        <v>2066121</v>
      </c>
      <c r="CQ8" s="212">
        <f t="shared" si="0"/>
        <v>1604350</v>
      </c>
      <c r="CR8" s="212">
        <f t="shared" si="0"/>
        <v>6929251</v>
      </c>
      <c r="CS8" s="213">
        <f t="shared" si="0"/>
        <v>5590936</v>
      </c>
      <c r="CT8" s="194">
        <v>29130987</v>
      </c>
      <c r="CU8" s="195">
        <v>22921757</v>
      </c>
      <c r="CV8" s="195">
        <v>109143017</v>
      </c>
      <c r="CW8" s="196">
        <v>87644529</v>
      </c>
      <c r="CX8" s="197">
        <f>CP8+CT8</f>
        <v>31197108</v>
      </c>
      <c r="CY8" s="212">
        <f t="shared" si="1"/>
        <v>24526107</v>
      </c>
      <c r="CZ8" s="212">
        <f t="shared" si="1"/>
        <v>116072268</v>
      </c>
      <c r="DA8" s="214">
        <f t="shared" si="1"/>
        <v>93235465</v>
      </c>
    </row>
    <row r="9" spans="1:105" s="162" customFormat="1" ht="14.25">
      <c r="A9" s="199" t="s">
        <v>37</v>
      </c>
      <c r="B9" s="205"/>
      <c r="C9" s="163"/>
      <c r="D9" s="163"/>
      <c r="E9" s="164"/>
      <c r="F9" s="206"/>
      <c r="G9" s="166"/>
      <c r="H9" s="166"/>
      <c r="I9" s="171"/>
      <c r="J9" s="207"/>
      <c r="K9" s="170"/>
      <c r="L9" s="170"/>
      <c r="M9" s="171"/>
      <c r="N9" s="207"/>
      <c r="O9" s="170"/>
      <c r="P9" s="170"/>
      <c r="Q9" s="171"/>
      <c r="R9" s="207"/>
      <c r="S9" s="170"/>
      <c r="T9" s="170"/>
      <c r="U9" s="171"/>
      <c r="V9" s="207"/>
      <c r="W9" s="170"/>
      <c r="X9" s="170"/>
      <c r="Y9" s="171"/>
      <c r="Z9" s="207"/>
      <c r="AA9" s="170"/>
      <c r="AB9" s="170"/>
      <c r="AC9" s="171"/>
      <c r="AD9" s="206"/>
      <c r="AE9" s="166"/>
      <c r="AF9" s="166"/>
      <c r="AG9" s="167"/>
      <c r="AH9" s="165"/>
      <c r="AI9" s="166"/>
      <c r="AJ9" s="166"/>
      <c r="AK9" s="167"/>
      <c r="AL9" s="165"/>
      <c r="AM9" s="166"/>
      <c r="AN9" s="166"/>
      <c r="AO9" s="168"/>
      <c r="AP9" s="169"/>
      <c r="AQ9" s="187"/>
      <c r="AR9" s="187"/>
      <c r="AS9" s="186"/>
      <c r="AT9" s="165"/>
      <c r="AU9" s="166"/>
      <c r="AV9" s="166"/>
      <c r="AW9" s="168"/>
      <c r="AX9" s="172"/>
      <c r="AY9" s="173"/>
      <c r="AZ9" s="173"/>
      <c r="BA9" s="208"/>
      <c r="BB9" s="165"/>
      <c r="BC9" s="166"/>
      <c r="BD9" s="166"/>
      <c r="BE9" s="168"/>
      <c r="BF9" s="165"/>
      <c r="BG9" s="166"/>
      <c r="BH9" s="166"/>
      <c r="BI9" s="168"/>
      <c r="BJ9" s="165"/>
      <c r="BK9" s="166"/>
      <c r="BL9" s="166"/>
      <c r="BM9" s="209"/>
      <c r="BN9" s="165"/>
      <c r="BO9" s="166"/>
      <c r="BP9" s="166"/>
      <c r="BQ9" s="168"/>
      <c r="BR9" s="165"/>
      <c r="BS9" s="166"/>
      <c r="BT9" s="166"/>
      <c r="BU9" s="168"/>
      <c r="BV9" s="175"/>
      <c r="BW9" s="166"/>
      <c r="BX9" s="166"/>
      <c r="BY9" s="168"/>
      <c r="BZ9" s="169"/>
      <c r="CA9" s="170"/>
      <c r="CB9" s="170"/>
      <c r="CC9" s="171"/>
      <c r="CD9" s="365"/>
      <c r="CE9" s="193"/>
      <c r="CF9" s="193"/>
      <c r="CG9" s="210"/>
      <c r="CH9" s="194">
        <v>77704</v>
      </c>
      <c r="CI9" s="195">
        <v>79648</v>
      </c>
      <c r="CJ9" s="195">
        <v>185891</v>
      </c>
      <c r="CK9" s="211">
        <v>344358</v>
      </c>
      <c r="CL9" s="169">
        <v>385308</v>
      </c>
      <c r="CM9" s="170">
        <v>199538</v>
      </c>
      <c r="CN9" s="170">
        <v>1252167</v>
      </c>
      <c r="CO9" s="186">
        <v>811258</v>
      </c>
      <c r="CP9" s="197"/>
      <c r="CQ9" s="212"/>
      <c r="CR9" s="212"/>
      <c r="CS9" s="213"/>
      <c r="CT9" s="194"/>
      <c r="CU9" s="195"/>
      <c r="CV9" s="195"/>
      <c r="CW9" s="196"/>
      <c r="CX9" s="197"/>
      <c r="CY9" s="212"/>
      <c r="CZ9" s="212"/>
      <c r="DA9" s="214"/>
    </row>
    <row r="10" spans="1:105" s="162" customFormat="1" ht="14.25">
      <c r="A10" s="199" t="s">
        <v>38</v>
      </c>
      <c r="B10" s="217">
        <v>228323</v>
      </c>
      <c r="C10" s="218">
        <v>212198</v>
      </c>
      <c r="D10" s="218">
        <v>626935</v>
      </c>
      <c r="E10" s="219">
        <v>640380</v>
      </c>
      <c r="F10" s="220">
        <v>183849</v>
      </c>
      <c r="G10" s="183">
        <v>140725</v>
      </c>
      <c r="H10" s="183">
        <v>426297</v>
      </c>
      <c r="I10" s="202">
        <v>160924</v>
      </c>
      <c r="J10" s="212">
        <v>127787</v>
      </c>
      <c r="K10" s="201">
        <v>296363</v>
      </c>
      <c r="L10" s="201">
        <v>355649</v>
      </c>
      <c r="M10" s="202">
        <v>793817</v>
      </c>
      <c r="N10" s="212">
        <v>902040</v>
      </c>
      <c r="O10" s="201">
        <v>1027241</v>
      </c>
      <c r="P10" s="201">
        <v>2625498</v>
      </c>
      <c r="Q10" s="202">
        <v>3176216</v>
      </c>
      <c r="R10" s="212">
        <v>66897</v>
      </c>
      <c r="S10" s="201">
        <v>31077</v>
      </c>
      <c r="T10" s="201">
        <v>188681</v>
      </c>
      <c r="U10" s="202">
        <v>94267</v>
      </c>
      <c r="V10" s="212">
        <v>93874</v>
      </c>
      <c r="W10" s="201">
        <v>159332</v>
      </c>
      <c r="X10" s="201">
        <v>337139</v>
      </c>
      <c r="Y10" s="202">
        <v>160099</v>
      </c>
      <c r="Z10" s="212">
        <v>10737</v>
      </c>
      <c r="AA10" s="201">
        <v>15026</v>
      </c>
      <c r="AB10" s="201">
        <v>40838</v>
      </c>
      <c r="AC10" s="202">
        <v>46684</v>
      </c>
      <c r="AD10" s="220">
        <v>24606</v>
      </c>
      <c r="AE10" s="183">
        <v>56564</v>
      </c>
      <c r="AF10" s="183">
        <v>75207</v>
      </c>
      <c r="AG10" s="221">
        <v>152901</v>
      </c>
      <c r="AH10" s="179"/>
      <c r="AI10" s="183"/>
      <c r="AJ10" s="183"/>
      <c r="AK10" s="221"/>
      <c r="AL10" s="179">
        <f>115655</f>
        <v>115655</v>
      </c>
      <c r="AM10" s="183">
        <v>30081</v>
      </c>
      <c r="AN10" s="183">
        <v>115655</v>
      </c>
      <c r="AO10" s="180">
        <v>99411</v>
      </c>
      <c r="AP10" s="169">
        <v>130217</v>
      </c>
      <c r="AQ10" s="201">
        <v>23163</v>
      </c>
      <c r="AR10" s="201">
        <v>374890</v>
      </c>
      <c r="AS10" s="203">
        <v>657433</v>
      </c>
      <c r="AT10" s="179">
        <v>700302</v>
      </c>
      <c r="AU10" s="183">
        <v>607062</v>
      </c>
      <c r="AV10" s="183">
        <v>2480536</v>
      </c>
      <c r="AW10" s="180">
        <v>2099481</v>
      </c>
      <c r="AX10" s="172">
        <v>548180</v>
      </c>
      <c r="AY10" s="173">
        <v>370150</v>
      </c>
      <c r="AZ10" s="173">
        <v>1311472</v>
      </c>
      <c r="BA10" s="208">
        <v>818056</v>
      </c>
      <c r="BB10" s="179">
        <v>87830</v>
      </c>
      <c r="BC10" s="183">
        <v>2542</v>
      </c>
      <c r="BD10" s="183">
        <v>152861</v>
      </c>
      <c r="BE10" s="180">
        <v>2542</v>
      </c>
      <c r="BF10" s="222">
        <v>220816</v>
      </c>
      <c r="BG10" s="223">
        <v>141117</v>
      </c>
      <c r="BH10" s="223">
        <v>496154</v>
      </c>
      <c r="BI10" s="224">
        <v>365890</v>
      </c>
      <c r="BJ10" s="179">
        <v>351216</v>
      </c>
      <c r="BK10" s="183">
        <v>165263</v>
      </c>
      <c r="BL10" s="183">
        <v>1062011</v>
      </c>
      <c r="BM10" s="209">
        <v>544590</v>
      </c>
      <c r="BN10" s="179">
        <v>799576</v>
      </c>
      <c r="BO10" s="183">
        <v>524903</v>
      </c>
      <c r="BP10" s="183">
        <v>2161339</v>
      </c>
      <c r="BQ10" s="180">
        <v>1344666</v>
      </c>
      <c r="BR10" s="179">
        <v>1899538</v>
      </c>
      <c r="BS10" s="183">
        <v>1887819</v>
      </c>
      <c r="BT10" s="183">
        <v>5253623</v>
      </c>
      <c r="BU10" s="180">
        <v>5744965</v>
      </c>
      <c r="BV10" s="175"/>
      <c r="BW10" s="166"/>
      <c r="BX10" s="166"/>
      <c r="BY10" s="168"/>
      <c r="BZ10" s="374">
        <v>2562189</v>
      </c>
      <c r="CA10" s="367">
        <v>2514794</v>
      </c>
      <c r="CB10" s="367">
        <v>7591982</v>
      </c>
      <c r="CC10" s="375">
        <v>8847890</v>
      </c>
      <c r="CD10" s="365">
        <v>145482</v>
      </c>
      <c r="CE10" s="193">
        <v>145417</v>
      </c>
      <c r="CF10" s="193">
        <v>607421</v>
      </c>
      <c r="CG10" s="210">
        <v>410507</v>
      </c>
      <c r="CH10" s="194">
        <v>258125</v>
      </c>
      <c r="CI10" s="195"/>
      <c r="CJ10" s="195">
        <v>419686</v>
      </c>
      <c r="CK10" s="211"/>
      <c r="CL10" s="197">
        <f>815730+603662</f>
        <v>1419392</v>
      </c>
      <c r="CM10" s="201">
        <f>741921+505568</f>
        <v>1247489</v>
      </c>
      <c r="CN10" s="201">
        <f>2686669+2173358</f>
        <v>4860027</v>
      </c>
      <c r="CO10" s="203">
        <f>2405960+1831938</f>
        <v>4237898</v>
      </c>
      <c r="CP10" s="197">
        <f aca="true" t="shared" si="2" ref="CP10:CP15">SUM(B10+F10+J10+N10+R10+V10+Z10+AD10+AH10+AL10+AP10+AT10+AX10+BB10+BF10+BJ10+BN10+BR10+BV10+BZ10+CD10+CH10+CL10)</f>
        <v>10876631</v>
      </c>
      <c r="CQ10" s="212">
        <f t="shared" si="0"/>
        <v>9598326</v>
      </c>
      <c r="CR10" s="212">
        <f t="shared" si="0"/>
        <v>31563901</v>
      </c>
      <c r="CS10" s="213">
        <f t="shared" si="0"/>
        <v>30398617</v>
      </c>
      <c r="CT10" s="197"/>
      <c r="CU10" s="201"/>
      <c r="CV10" s="201"/>
      <c r="CW10" s="202"/>
      <c r="CX10" s="197">
        <f aca="true" t="shared" si="3" ref="CX10:CX22">CP10+CT10</f>
        <v>10876631</v>
      </c>
      <c r="CY10" s="212">
        <f t="shared" si="1"/>
        <v>9598326</v>
      </c>
      <c r="CZ10" s="212">
        <f t="shared" si="1"/>
        <v>31563901</v>
      </c>
      <c r="DA10" s="214">
        <f t="shared" si="1"/>
        <v>30398617</v>
      </c>
    </row>
    <row r="11" spans="1:105" s="162" customFormat="1" ht="14.25">
      <c r="A11" s="199" t="s">
        <v>39</v>
      </c>
      <c r="B11" s="205">
        <v>10631319</v>
      </c>
      <c r="C11" s="163">
        <v>11163620</v>
      </c>
      <c r="D11" s="163">
        <v>40774331</v>
      </c>
      <c r="E11" s="164">
        <v>44108580</v>
      </c>
      <c r="F11" s="206">
        <v>601520</v>
      </c>
      <c r="G11" s="166">
        <v>858139</v>
      </c>
      <c r="H11" s="166">
        <v>1986545</v>
      </c>
      <c r="I11" s="171">
        <v>2842363</v>
      </c>
      <c r="J11" s="207">
        <v>2365715</v>
      </c>
      <c r="K11" s="170">
        <v>3182591</v>
      </c>
      <c r="L11" s="170">
        <v>7917616</v>
      </c>
      <c r="M11" s="171">
        <v>11537441</v>
      </c>
      <c r="N11" s="207">
        <v>6591459</v>
      </c>
      <c r="O11" s="170">
        <v>9729084</v>
      </c>
      <c r="P11" s="170">
        <v>23864530</v>
      </c>
      <c r="Q11" s="171">
        <v>44021939</v>
      </c>
      <c r="R11" s="207">
        <v>664183</v>
      </c>
      <c r="S11" s="170">
        <v>1356565</v>
      </c>
      <c r="T11" s="170">
        <v>2854356</v>
      </c>
      <c r="U11" s="171">
        <v>4606693</v>
      </c>
      <c r="V11" s="207">
        <v>2361533</v>
      </c>
      <c r="W11" s="170">
        <v>2753921</v>
      </c>
      <c r="X11" s="170">
        <v>8838540</v>
      </c>
      <c r="Y11" s="171">
        <v>12434672</v>
      </c>
      <c r="Z11" s="207">
        <v>369100</v>
      </c>
      <c r="AA11" s="170">
        <v>354053</v>
      </c>
      <c r="AB11" s="170">
        <v>1261974</v>
      </c>
      <c r="AC11" s="171">
        <v>1231208</v>
      </c>
      <c r="AD11" s="206">
        <v>68180</v>
      </c>
      <c r="AE11" s="166">
        <v>50651</v>
      </c>
      <c r="AF11" s="166">
        <v>161048</v>
      </c>
      <c r="AG11" s="167">
        <v>146307</v>
      </c>
      <c r="AH11" s="165">
        <v>1528340</v>
      </c>
      <c r="AI11" s="166">
        <v>5654671</v>
      </c>
      <c r="AJ11" s="166">
        <v>1729614</v>
      </c>
      <c r="AK11" s="167">
        <v>6272841</v>
      </c>
      <c r="AL11" s="165">
        <v>403752</v>
      </c>
      <c r="AM11" s="166">
        <v>528211</v>
      </c>
      <c r="AN11" s="166">
        <v>1559094</v>
      </c>
      <c r="AO11" s="168">
        <v>1881046</v>
      </c>
      <c r="AP11" s="169">
        <v>18122882</v>
      </c>
      <c r="AQ11" s="170">
        <v>19780596</v>
      </c>
      <c r="AR11" s="170">
        <v>60094044</v>
      </c>
      <c r="AS11" s="186">
        <v>69622499</v>
      </c>
      <c r="AT11" s="165">
        <v>33632580</v>
      </c>
      <c r="AU11" s="166">
        <v>29589022</v>
      </c>
      <c r="AV11" s="166">
        <v>106115264</v>
      </c>
      <c r="AW11" s="168">
        <v>127606473</v>
      </c>
      <c r="AX11" s="165">
        <v>539877</v>
      </c>
      <c r="AY11" s="166">
        <v>789035</v>
      </c>
      <c r="AZ11" s="166">
        <v>1955855</v>
      </c>
      <c r="BA11" s="168">
        <v>3274686</v>
      </c>
      <c r="BB11" s="165">
        <v>4683585</v>
      </c>
      <c r="BC11" s="166">
        <v>4242666</v>
      </c>
      <c r="BD11" s="166">
        <v>10946447</v>
      </c>
      <c r="BE11" s="168">
        <v>9007445</v>
      </c>
      <c r="BF11" s="165">
        <v>2813376</v>
      </c>
      <c r="BG11" s="166">
        <v>3332259</v>
      </c>
      <c r="BH11" s="166">
        <v>10034591</v>
      </c>
      <c r="BI11" s="168">
        <v>13535758</v>
      </c>
      <c r="BJ11" s="165">
        <v>9952036</v>
      </c>
      <c r="BK11" s="166">
        <v>6766744</v>
      </c>
      <c r="BL11" s="166">
        <v>27746302</v>
      </c>
      <c r="BM11" s="209">
        <v>25591376</v>
      </c>
      <c r="BN11" s="165">
        <v>3449952</v>
      </c>
      <c r="BO11" s="166">
        <v>5045247</v>
      </c>
      <c r="BP11" s="166">
        <v>12649639</v>
      </c>
      <c r="BQ11" s="168">
        <v>16258559</v>
      </c>
      <c r="BR11" s="165">
        <v>11475022</v>
      </c>
      <c r="BS11" s="166">
        <v>3923581</v>
      </c>
      <c r="BT11" s="166">
        <v>21922796</v>
      </c>
      <c r="BU11" s="168">
        <v>16332763</v>
      </c>
      <c r="BV11" s="175"/>
      <c r="BW11" s="166"/>
      <c r="BX11" s="166"/>
      <c r="BY11" s="168"/>
      <c r="BZ11" s="374">
        <v>11462807</v>
      </c>
      <c r="CA11" s="367">
        <v>11286286</v>
      </c>
      <c r="CB11" s="367">
        <v>40557407</v>
      </c>
      <c r="CC11" s="375">
        <v>42692893</v>
      </c>
      <c r="CD11" s="365">
        <v>472845</v>
      </c>
      <c r="CE11" s="193">
        <v>532537</v>
      </c>
      <c r="CF11" s="193">
        <v>1997262</v>
      </c>
      <c r="CG11" s="210">
        <v>2776553</v>
      </c>
      <c r="CH11" s="194">
        <v>1546270</v>
      </c>
      <c r="CI11" s="195">
        <v>1610196</v>
      </c>
      <c r="CJ11" s="195">
        <v>5068380</v>
      </c>
      <c r="CK11" s="211">
        <v>5450505</v>
      </c>
      <c r="CL11" s="169">
        <v>2186521</v>
      </c>
      <c r="CM11" s="170">
        <v>2619514</v>
      </c>
      <c r="CN11" s="170">
        <v>8245083</v>
      </c>
      <c r="CO11" s="186">
        <v>13165649</v>
      </c>
      <c r="CP11" s="197">
        <f t="shared" si="2"/>
        <v>125922854</v>
      </c>
      <c r="CQ11" s="212">
        <f t="shared" si="0"/>
        <v>125149189</v>
      </c>
      <c r="CR11" s="212">
        <f t="shared" si="0"/>
        <v>398280718</v>
      </c>
      <c r="CS11" s="213">
        <f t="shared" si="0"/>
        <v>474398249</v>
      </c>
      <c r="CT11" s="194">
        <v>206745793</v>
      </c>
      <c r="CU11" s="195">
        <v>166563711</v>
      </c>
      <c r="CV11" s="195">
        <v>692372669</v>
      </c>
      <c r="CW11" s="196">
        <v>516779091</v>
      </c>
      <c r="CX11" s="197">
        <f t="shared" si="3"/>
        <v>332668647</v>
      </c>
      <c r="CY11" s="212">
        <f t="shared" si="1"/>
        <v>291712900</v>
      </c>
      <c r="CZ11" s="212">
        <f t="shared" si="1"/>
        <v>1090653387</v>
      </c>
      <c r="DA11" s="214">
        <f t="shared" si="1"/>
        <v>991177340</v>
      </c>
    </row>
    <row r="12" spans="1:105" s="162" customFormat="1" ht="14.25">
      <c r="A12" s="199" t="s">
        <v>40</v>
      </c>
      <c r="B12" s="205"/>
      <c r="C12" s="163"/>
      <c r="D12" s="163"/>
      <c r="E12" s="164"/>
      <c r="F12" s="206"/>
      <c r="G12" s="166"/>
      <c r="H12" s="166"/>
      <c r="I12" s="171"/>
      <c r="J12" s="207"/>
      <c r="K12" s="170"/>
      <c r="L12" s="170"/>
      <c r="M12" s="171"/>
      <c r="N12" s="207"/>
      <c r="O12" s="170"/>
      <c r="P12" s="170"/>
      <c r="Q12" s="171"/>
      <c r="R12" s="207"/>
      <c r="S12" s="170"/>
      <c r="T12" s="170"/>
      <c r="U12" s="171"/>
      <c r="V12" s="207"/>
      <c r="W12" s="170"/>
      <c r="X12" s="170"/>
      <c r="Y12" s="171"/>
      <c r="Z12" s="207"/>
      <c r="AA12" s="170"/>
      <c r="AB12" s="170"/>
      <c r="AC12" s="171"/>
      <c r="AD12" s="206"/>
      <c r="AE12" s="166"/>
      <c r="AF12" s="166"/>
      <c r="AG12" s="167"/>
      <c r="AH12" s="165"/>
      <c r="AI12" s="166"/>
      <c r="AJ12" s="166"/>
      <c r="AK12" s="167"/>
      <c r="AL12" s="165"/>
      <c r="AM12" s="166"/>
      <c r="AN12" s="166"/>
      <c r="AO12" s="168"/>
      <c r="AP12" s="169">
        <v>4052231</v>
      </c>
      <c r="AQ12" s="170">
        <v>7724617</v>
      </c>
      <c r="AR12" s="170">
        <v>10689917</v>
      </c>
      <c r="AS12" s="186">
        <v>14338704</v>
      </c>
      <c r="AT12" s="165"/>
      <c r="AU12" s="166"/>
      <c r="AV12" s="166"/>
      <c r="AW12" s="168"/>
      <c r="AX12" s="165"/>
      <c r="AY12" s="166"/>
      <c r="AZ12" s="166"/>
      <c r="BA12" s="168"/>
      <c r="BB12" s="165"/>
      <c r="BC12" s="166"/>
      <c r="BD12" s="166"/>
      <c r="BE12" s="168"/>
      <c r="BF12" s="165">
        <v>210137</v>
      </c>
      <c r="BG12" s="166">
        <v>344015</v>
      </c>
      <c r="BH12" s="166">
        <v>487754</v>
      </c>
      <c r="BI12" s="168">
        <v>808066</v>
      </c>
      <c r="BJ12" s="165"/>
      <c r="BK12" s="166"/>
      <c r="BL12" s="166"/>
      <c r="BM12" s="209"/>
      <c r="BN12" s="165"/>
      <c r="BO12" s="166"/>
      <c r="BP12" s="166"/>
      <c r="BQ12" s="168"/>
      <c r="BR12" s="165"/>
      <c r="BS12" s="166"/>
      <c r="BT12" s="166"/>
      <c r="BU12" s="168"/>
      <c r="BV12" s="175"/>
      <c r="BW12" s="166"/>
      <c r="BX12" s="166"/>
      <c r="BY12" s="168"/>
      <c r="BZ12" s="374">
        <v>4777425</v>
      </c>
      <c r="CA12" s="367">
        <v>4128040</v>
      </c>
      <c r="CB12" s="367">
        <v>11764139</v>
      </c>
      <c r="CC12" s="375">
        <v>13512167</v>
      </c>
      <c r="CD12" s="365"/>
      <c r="CE12" s="193"/>
      <c r="CF12" s="193"/>
      <c r="CG12" s="210"/>
      <c r="CH12" s="194"/>
      <c r="CI12" s="195"/>
      <c r="CJ12" s="195"/>
      <c r="CK12" s="211"/>
      <c r="CL12" s="169"/>
      <c r="CM12" s="170"/>
      <c r="CN12" s="170"/>
      <c r="CO12" s="186"/>
      <c r="CP12" s="197">
        <f t="shared" si="2"/>
        <v>9039793</v>
      </c>
      <c r="CQ12" s="212">
        <f t="shared" si="0"/>
        <v>12196672</v>
      </c>
      <c r="CR12" s="212">
        <f t="shared" si="0"/>
        <v>22941810</v>
      </c>
      <c r="CS12" s="213">
        <f t="shared" si="0"/>
        <v>28658937</v>
      </c>
      <c r="CT12" s="194"/>
      <c r="CU12" s="195"/>
      <c r="CV12" s="195"/>
      <c r="CW12" s="196"/>
      <c r="CX12" s="197">
        <f t="shared" si="3"/>
        <v>9039793</v>
      </c>
      <c r="CY12" s="212">
        <f t="shared" si="1"/>
        <v>12196672</v>
      </c>
      <c r="CZ12" s="212">
        <f t="shared" si="1"/>
        <v>22941810</v>
      </c>
      <c r="DA12" s="214">
        <f t="shared" si="1"/>
        <v>28658937</v>
      </c>
    </row>
    <row r="13" spans="1:105" s="162" customFormat="1" ht="14.25">
      <c r="A13" s="199" t="s">
        <v>41</v>
      </c>
      <c r="B13" s="205"/>
      <c r="C13" s="163"/>
      <c r="D13" s="163"/>
      <c r="E13" s="164"/>
      <c r="F13" s="206">
        <v>30529</v>
      </c>
      <c r="G13" s="166">
        <v>9961</v>
      </c>
      <c r="H13" s="166">
        <v>72182</v>
      </c>
      <c r="I13" s="171">
        <v>152818</v>
      </c>
      <c r="J13" s="207"/>
      <c r="K13" s="170"/>
      <c r="L13" s="170"/>
      <c r="M13" s="171"/>
      <c r="N13" s="207"/>
      <c r="O13" s="170"/>
      <c r="P13" s="170"/>
      <c r="Q13" s="171"/>
      <c r="R13" s="207"/>
      <c r="S13" s="170"/>
      <c r="T13" s="170"/>
      <c r="U13" s="171"/>
      <c r="V13" s="207">
        <v>1568889</v>
      </c>
      <c r="W13" s="170">
        <v>1168898</v>
      </c>
      <c r="X13" s="170">
        <v>5719980</v>
      </c>
      <c r="Y13" s="171">
        <v>4658303</v>
      </c>
      <c r="Z13" s="207"/>
      <c r="AA13" s="170"/>
      <c r="AB13" s="170"/>
      <c r="AC13" s="171"/>
      <c r="AD13" s="206">
        <v>27761</v>
      </c>
      <c r="AE13" s="166">
        <v>14604</v>
      </c>
      <c r="AF13" s="166">
        <v>79083</v>
      </c>
      <c r="AG13" s="167">
        <v>63212</v>
      </c>
      <c r="AH13" s="165"/>
      <c r="AI13" s="166"/>
      <c r="AJ13" s="166"/>
      <c r="AK13" s="167"/>
      <c r="AL13" s="165"/>
      <c r="AM13" s="166"/>
      <c r="AN13" s="166"/>
      <c r="AO13" s="168"/>
      <c r="AP13" s="169">
        <v>3486363</v>
      </c>
      <c r="AQ13" s="170">
        <v>5806726</v>
      </c>
      <c r="AR13" s="170">
        <v>16817175</v>
      </c>
      <c r="AS13" s="186">
        <v>13612867</v>
      </c>
      <c r="AT13" s="165"/>
      <c r="AU13" s="166"/>
      <c r="AV13" s="166"/>
      <c r="AW13" s="168"/>
      <c r="AX13" s="165"/>
      <c r="AY13" s="166"/>
      <c r="AZ13" s="166"/>
      <c r="BA13" s="168"/>
      <c r="BB13" s="165"/>
      <c r="BC13" s="166"/>
      <c r="BD13" s="166"/>
      <c r="BE13" s="168"/>
      <c r="BF13" s="165"/>
      <c r="BG13" s="166"/>
      <c r="BH13" s="166"/>
      <c r="BI13" s="168"/>
      <c r="BJ13" s="165"/>
      <c r="BK13" s="166"/>
      <c r="BL13" s="166"/>
      <c r="BM13" s="209"/>
      <c r="BN13" s="165"/>
      <c r="BO13" s="166"/>
      <c r="BP13" s="166"/>
      <c r="BQ13" s="168"/>
      <c r="BR13" s="165"/>
      <c r="BS13" s="166"/>
      <c r="BT13" s="166"/>
      <c r="BU13" s="168"/>
      <c r="BV13" s="175"/>
      <c r="BW13" s="166"/>
      <c r="BX13" s="166"/>
      <c r="BY13" s="168"/>
      <c r="BZ13" s="374">
        <v>12551230</v>
      </c>
      <c r="CA13" s="367">
        <v>7765193</v>
      </c>
      <c r="CB13" s="367">
        <v>31666904</v>
      </c>
      <c r="CC13" s="375">
        <v>24920625</v>
      </c>
      <c r="CD13" s="365">
        <v>873</v>
      </c>
      <c r="CE13" s="193">
        <v>2368</v>
      </c>
      <c r="CF13" s="193">
        <v>8959</v>
      </c>
      <c r="CG13" s="210">
        <v>17965</v>
      </c>
      <c r="CH13" s="194"/>
      <c r="CI13" s="195"/>
      <c r="CJ13" s="195"/>
      <c r="CK13" s="211"/>
      <c r="CL13" s="169"/>
      <c r="CM13" s="170"/>
      <c r="CN13" s="170"/>
      <c r="CO13" s="186"/>
      <c r="CP13" s="197">
        <f t="shared" si="2"/>
        <v>17665645</v>
      </c>
      <c r="CQ13" s="212">
        <f t="shared" si="0"/>
        <v>14767750</v>
      </c>
      <c r="CR13" s="212">
        <f t="shared" si="0"/>
        <v>54364283</v>
      </c>
      <c r="CS13" s="213">
        <f t="shared" si="0"/>
        <v>43425790</v>
      </c>
      <c r="CT13" s="194"/>
      <c r="CU13" s="195"/>
      <c r="CV13" s="195"/>
      <c r="CW13" s="196"/>
      <c r="CX13" s="197">
        <f t="shared" si="3"/>
        <v>17665645</v>
      </c>
      <c r="CY13" s="212">
        <f t="shared" si="1"/>
        <v>14767750</v>
      </c>
      <c r="CZ13" s="212">
        <f t="shared" si="1"/>
        <v>54364283</v>
      </c>
      <c r="DA13" s="214">
        <f t="shared" si="1"/>
        <v>43425790</v>
      </c>
    </row>
    <row r="14" spans="1:105" s="162" customFormat="1" ht="14.25">
      <c r="A14" s="199" t="s">
        <v>42</v>
      </c>
      <c r="B14" s="217">
        <v>20042</v>
      </c>
      <c r="C14" s="218">
        <v>20690</v>
      </c>
      <c r="D14" s="218">
        <v>93286</v>
      </c>
      <c r="E14" s="219">
        <v>65917</v>
      </c>
      <c r="F14" s="220">
        <v>-1615</v>
      </c>
      <c r="G14" s="183">
        <v>9656</v>
      </c>
      <c r="H14" s="183">
        <v>35607</v>
      </c>
      <c r="I14" s="202">
        <v>20659</v>
      </c>
      <c r="J14" s="212">
        <v>838</v>
      </c>
      <c r="K14" s="201">
        <v>1694</v>
      </c>
      <c r="L14" s="201">
        <v>8351</v>
      </c>
      <c r="M14" s="202">
        <v>7558</v>
      </c>
      <c r="N14" s="212">
        <v>57102</v>
      </c>
      <c r="O14" s="201">
        <v>52793</v>
      </c>
      <c r="P14" s="201">
        <v>205309</v>
      </c>
      <c r="Q14" s="202">
        <v>100109</v>
      </c>
      <c r="R14" s="212">
        <v>9499</v>
      </c>
      <c r="S14" s="201">
        <v>10036</v>
      </c>
      <c r="T14" s="201">
        <v>26676</v>
      </c>
      <c r="U14" s="202">
        <v>25900</v>
      </c>
      <c r="V14" s="212"/>
      <c r="W14" s="201"/>
      <c r="X14" s="201"/>
      <c r="Y14" s="202"/>
      <c r="Z14" s="212"/>
      <c r="AA14" s="201"/>
      <c r="AB14" s="201"/>
      <c r="AC14" s="202">
        <v>52</v>
      </c>
      <c r="AD14" s="220"/>
      <c r="AE14" s="183"/>
      <c r="AF14" s="183"/>
      <c r="AG14" s="221"/>
      <c r="AH14" s="179"/>
      <c r="AI14" s="183"/>
      <c r="AJ14" s="183"/>
      <c r="AK14" s="221"/>
      <c r="AL14" s="179">
        <v>14640</v>
      </c>
      <c r="AM14" s="183">
        <v>4672</v>
      </c>
      <c r="AN14" s="183">
        <v>25205</v>
      </c>
      <c r="AO14" s="180">
        <v>5362</v>
      </c>
      <c r="AP14" s="197"/>
      <c r="AQ14" s="201"/>
      <c r="AR14" s="201"/>
      <c r="AS14" s="203"/>
      <c r="AT14" s="179">
        <v>18076</v>
      </c>
      <c r="AU14" s="183">
        <v>31819</v>
      </c>
      <c r="AV14" s="183">
        <v>70208</v>
      </c>
      <c r="AW14" s="180">
        <v>121857</v>
      </c>
      <c r="AX14" s="172">
        <v>1658</v>
      </c>
      <c r="AY14" s="173">
        <v>2536</v>
      </c>
      <c r="AZ14" s="173">
        <v>8468</v>
      </c>
      <c r="BA14" s="208">
        <v>15136</v>
      </c>
      <c r="BB14" s="179"/>
      <c r="BC14" s="183"/>
      <c r="BD14" s="183"/>
      <c r="BE14" s="180"/>
      <c r="BF14" s="222">
        <v>3268</v>
      </c>
      <c r="BG14" s="223">
        <v>2270</v>
      </c>
      <c r="BH14" s="223">
        <v>9408</v>
      </c>
      <c r="BI14" s="224">
        <v>5882</v>
      </c>
      <c r="BJ14" s="179"/>
      <c r="BK14" s="183"/>
      <c r="BL14" s="183"/>
      <c r="BM14" s="209"/>
      <c r="BN14" s="179"/>
      <c r="BO14" s="183"/>
      <c r="BP14" s="183"/>
      <c r="BQ14" s="180"/>
      <c r="BR14" s="179">
        <v>625</v>
      </c>
      <c r="BS14" s="183">
        <v>1100</v>
      </c>
      <c r="BT14" s="183">
        <v>2264</v>
      </c>
      <c r="BU14" s="180">
        <v>3030</v>
      </c>
      <c r="BV14" s="175"/>
      <c r="BW14" s="166"/>
      <c r="BX14" s="166"/>
      <c r="BY14" s="168"/>
      <c r="BZ14" s="374">
        <v>13281</v>
      </c>
      <c r="CA14" s="367">
        <v>24468</v>
      </c>
      <c r="CB14" s="367">
        <v>97955</v>
      </c>
      <c r="CC14" s="375">
        <v>59442</v>
      </c>
      <c r="CD14" s="365"/>
      <c r="CE14" s="193"/>
      <c r="CF14" s="193"/>
      <c r="CG14" s="210"/>
      <c r="CH14" s="194"/>
      <c r="CI14" s="195"/>
      <c r="CJ14" s="195">
        <v>250</v>
      </c>
      <c r="CK14" s="211"/>
      <c r="CL14" s="197"/>
      <c r="CM14" s="201"/>
      <c r="CN14" s="201"/>
      <c r="CO14" s="203"/>
      <c r="CP14" s="197">
        <f t="shared" si="2"/>
        <v>137414</v>
      </c>
      <c r="CQ14" s="212">
        <f t="shared" si="0"/>
        <v>161734</v>
      </c>
      <c r="CR14" s="212">
        <f t="shared" si="0"/>
        <v>582987</v>
      </c>
      <c r="CS14" s="213">
        <f t="shared" si="0"/>
        <v>430904</v>
      </c>
      <c r="CT14" s="197"/>
      <c r="CU14" s="201"/>
      <c r="CV14" s="201"/>
      <c r="CW14" s="202"/>
      <c r="CX14" s="197">
        <f t="shared" si="3"/>
        <v>137414</v>
      </c>
      <c r="CY14" s="212">
        <f t="shared" si="1"/>
        <v>161734</v>
      </c>
      <c r="CZ14" s="212">
        <f t="shared" si="1"/>
        <v>582987</v>
      </c>
      <c r="DA14" s="214">
        <f t="shared" si="1"/>
        <v>430904</v>
      </c>
    </row>
    <row r="15" spans="1:105" s="162" customFormat="1" ht="14.25">
      <c r="A15" s="199" t="s">
        <v>43</v>
      </c>
      <c r="B15" s="205">
        <v>-1252</v>
      </c>
      <c r="C15" s="163">
        <v>-2597</v>
      </c>
      <c r="D15" s="163">
        <v>2804</v>
      </c>
      <c r="E15" s="164">
        <v>10937</v>
      </c>
      <c r="F15" s="206">
        <v>825</v>
      </c>
      <c r="G15" s="166">
        <v>3907</v>
      </c>
      <c r="H15" s="166">
        <v>9083</v>
      </c>
      <c r="I15" s="171">
        <v>12519</v>
      </c>
      <c r="J15" s="207">
        <v>4500</v>
      </c>
      <c r="K15" s="170">
        <v>4285</v>
      </c>
      <c r="L15" s="170">
        <v>16850</v>
      </c>
      <c r="M15" s="171">
        <v>15287</v>
      </c>
      <c r="N15" s="207">
        <v>19115</v>
      </c>
      <c r="O15" s="170">
        <v>20436</v>
      </c>
      <c r="P15" s="170">
        <v>72729</v>
      </c>
      <c r="Q15" s="171">
        <v>93796</v>
      </c>
      <c r="R15" s="207">
        <v>-2729</v>
      </c>
      <c r="S15" s="170">
        <v>3705</v>
      </c>
      <c r="T15" s="170">
        <v>29644</v>
      </c>
      <c r="U15" s="171">
        <v>22644</v>
      </c>
      <c r="V15" s="207"/>
      <c r="W15" s="170"/>
      <c r="X15" s="170"/>
      <c r="Y15" s="171"/>
      <c r="Z15" s="207">
        <v>375</v>
      </c>
      <c r="AA15" s="170">
        <v>570</v>
      </c>
      <c r="AB15" s="170">
        <v>5903</v>
      </c>
      <c r="AC15" s="171">
        <v>2530</v>
      </c>
      <c r="AD15" s="206">
        <v>-80</v>
      </c>
      <c r="AE15" s="166">
        <v>-30</v>
      </c>
      <c r="AF15" s="166">
        <v>5498</v>
      </c>
      <c r="AG15" s="167">
        <v>548</v>
      </c>
      <c r="AH15" s="165"/>
      <c r="AI15" s="166"/>
      <c r="AJ15" s="166"/>
      <c r="AK15" s="167"/>
      <c r="AL15" s="165">
        <v>1000</v>
      </c>
      <c r="AM15" s="166"/>
      <c r="AN15" s="166">
        <v>1000</v>
      </c>
      <c r="AO15" s="168"/>
      <c r="AP15" s="169">
        <v>7698</v>
      </c>
      <c r="AQ15" s="170">
        <v>28390</v>
      </c>
      <c r="AR15" s="170">
        <v>233243</v>
      </c>
      <c r="AS15" s="186">
        <v>212686</v>
      </c>
      <c r="AT15" s="165">
        <v>226224</v>
      </c>
      <c r="AU15" s="166">
        <v>234449</v>
      </c>
      <c r="AV15" s="166">
        <v>957642</v>
      </c>
      <c r="AW15" s="168">
        <v>850123</v>
      </c>
      <c r="AX15" s="172"/>
      <c r="AY15" s="173"/>
      <c r="AZ15" s="173"/>
      <c r="BA15" s="208"/>
      <c r="BB15" s="165">
        <v>2881</v>
      </c>
      <c r="BC15" s="166">
        <v>4565</v>
      </c>
      <c r="BD15" s="166">
        <v>17577</v>
      </c>
      <c r="BE15" s="168">
        <v>19415</v>
      </c>
      <c r="BF15" s="165"/>
      <c r="BG15" s="166"/>
      <c r="BH15" s="166"/>
      <c r="BI15" s="168"/>
      <c r="BJ15" s="165">
        <v>15307</v>
      </c>
      <c r="BK15" s="166">
        <v>15229</v>
      </c>
      <c r="BL15" s="166">
        <v>47565</v>
      </c>
      <c r="BM15" s="209">
        <v>44308</v>
      </c>
      <c r="BN15" s="165">
        <v>23184</v>
      </c>
      <c r="BO15" s="166">
        <v>16573</v>
      </c>
      <c r="BP15" s="166">
        <v>70743</v>
      </c>
      <c r="BQ15" s="168">
        <v>60498</v>
      </c>
      <c r="BR15" s="165">
        <v>3766</v>
      </c>
      <c r="BS15" s="166">
        <v>2245</v>
      </c>
      <c r="BT15" s="166">
        <v>14598</v>
      </c>
      <c r="BU15" s="168">
        <v>19118</v>
      </c>
      <c r="BV15" s="175"/>
      <c r="BW15" s="166"/>
      <c r="BX15" s="166"/>
      <c r="BY15" s="168"/>
      <c r="BZ15" s="374">
        <v>114</v>
      </c>
      <c r="CA15" s="367">
        <v>73</v>
      </c>
      <c r="CB15" s="367">
        <v>4808</v>
      </c>
      <c r="CC15" s="375">
        <v>1047</v>
      </c>
      <c r="CD15" s="365"/>
      <c r="CE15" s="193"/>
      <c r="CF15" s="193"/>
      <c r="CG15" s="210"/>
      <c r="CH15" s="194">
        <v>-766</v>
      </c>
      <c r="CI15" s="195">
        <v>3797</v>
      </c>
      <c r="CJ15" s="195">
        <v>23208</v>
      </c>
      <c r="CK15" s="211">
        <v>3863</v>
      </c>
      <c r="CL15" s="169">
        <v>1055</v>
      </c>
      <c r="CM15" s="170">
        <v>-497</v>
      </c>
      <c r="CN15" s="170">
        <v>11088</v>
      </c>
      <c r="CO15" s="186">
        <v>6688</v>
      </c>
      <c r="CP15" s="197">
        <f t="shared" si="2"/>
        <v>301217</v>
      </c>
      <c r="CQ15" s="212">
        <f t="shared" si="0"/>
        <v>335100</v>
      </c>
      <c r="CR15" s="212">
        <f t="shared" si="0"/>
        <v>1523983</v>
      </c>
      <c r="CS15" s="213">
        <f t="shared" si="0"/>
        <v>1376007</v>
      </c>
      <c r="CT15" s="169">
        <f>447197+76372+32711+8830</f>
        <v>565110</v>
      </c>
      <c r="CU15" s="170">
        <f>30477+52694+32579+6429</f>
        <v>122179</v>
      </c>
      <c r="CV15" s="170">
        <f>100730+180334+119529+23196</f>
        <v>423789</v>
      </c>
      <c r="CW15" s="171">
        <f>99531+169761+120282+21200</f>
        <v>410774</v>
      </c>
      <c r="CX15" s="197">
        <f t="shared" si="3"/>
        <v>866327</v>
      </c>
      <c r="CY15" s="212">
        <f t="shared" si="1"/>
        <v>457279</v>
      </c>
      <c r="CZ15" s="212">
        <f t="shared" si="1"/>
        <v>1947772</v>
      </c>
      <c r="DA15" s="214">
        <f t="shared" si="1"/>
        <v>1786781</v>
      </c>
    </row>
    <row r="16" spans="1:105" s="162" customFormat="1" ht="14.25">
      <c r="A16" s="199" t="s">
        <v>44</v>
      </c>
      <c r="B16" s="205"/>
      <c r="C16" s="163"/>
      <c r="D16" s="163"/>
      <c r="E16" s="164"/>
      <c r="F16" s="206"/>
      <c r="G16" s="166"/>
      <c r="H16" s="166"/>
      <c r="I16" s="171"/>
      <c r="J16" s="207"/>
      <c r="K16" s="170"/>
      <c r="L16" s="170"/>
      <c r="M16" s="171"/>
      <c r="N16" s="207"/>
      <c r="O16" s="170"/>
      <c r="P16" s="170"/>
      <c r="Q16" s="171"/>
      <c r="R16" s="207"/>
      <c r="S16" s="170"/>
      <c r="T16" s="170"/>
      <c r="U16" s="171"/>
      <c r="V16" s="207"/>
      <c r="W16" s="170"/>
      <c r="X16" s="170"/>
      <c r="Y16" s="171"/>
      <c r="Z16" s="207"/>
      <c r="AA16" s="170"/>
      <c r="AB16" s="170"/>
      <c r="AC16" s="171"/>
      <c r="AD16" s="206"/>
      <c r="AE16" s="166"/>
      <c r="AF16" s="166"/>
      <c r="AG16" s="167"/>
      <c r="AH16" s="165"/>
      <c r="AI16" s="166"/>
      <c r="AJ16" s="166"/>
      <c r="AK16" s="167"/>
      <c r="AL16" s="165"/>
      <c r="AM16" s="166"/>
      <c r="AN16" s="166"/>
      <c r="AO16" s="168"/>
      <c r="AP16" s="169"/>
      <c r="AQ16" s="170"/>
      <c r="AR16" s="170"/>
      <c r="AS16" s="186"/>
      <c r="AT16" s="165"/>
      <c r="AU16" s="166"/>
      <c r="AV16" s="166"/>
      <c r="AW16" s="168"/>
      <c r="AX16" s="172"/>
      <c r="AY16" s="173"/>
      <c r="AZ16" s="173"/>
      <c r="BA16" s="208"/>
      <c r="BB16" s="165"/>
      <c r="BC16" s="166"/>
      <c r="BD16" s="166"/>
      <c r="BE16" s="168"/>
      <c r="BF16" s="165"/>
      <c r="BG16" s="166"/>
      <c r="BH16" s="166"/>
      <c r="BI16" s="168"/>
      <c r="BJ16" s="165"/>
      <c r="BK16" s="166"/>
      <c r="BL16" s="166"/>
      <c r="BM16" s="209"/>
      <c r="BN16" s="165"/>
      <c r="BO16" s="166"/>
      <c r="BP16" s="166"/>
      <c r="BQ16" s="168"/>
      <c r="BR16" s="165"/>
      <c r="BS16" s="166"/>
      <c r="BT16" s="166"/>
      <c r="BU16" s="168"/>
      <c r="BV16" s="175"/>
      <c r="BW16" s="166"/>
      <c r="BX16" s="166"/>
      <c r="BY16" s="168"/>
      <c r="BZ16" s="374"/>
      <c r="CA16" s="367"/>
      <c r="CB16" s="367"/>
      <c r="CC16" s="375"/>
      <c r="CD16" s="365"/>
      <c r="CE16" s="193"/>
      <c r="CF16" s="193"/>
      <c r="CG16" s="210"/>
      <c r="CH16" s="194"/>
      <c r="CI16" s="195"/>
      <c r="CJ16" s="195"/>
      <c r="CK16" s="211"/>
      <c r="CL16" s="169"/>
      <c r="CM16" s="170"/>
      <c r="CN16" s="170"/>
      <c r="CO16" s="186"/>
      <c r="CP16" s="197"/>
      <c r="CQ16" s="212"/>
      <c r="CR16" s="212"/>
      <c r="CS16" s="213"/>
      <c r="CT16" s="169">
        <v>6168</v>
      </c>
      <c r="CU16" s="170"/>
      <c r="CV16" s="170">
        <v>6418</v>
      </c>
      <c r="CW16" s="171"/>
      <c r="CX16" s="197">
        <f t="shared" si="3"/>
        <v>6168</v>
      </c>
      <c r="CY16" s="212"/>
      <c r="CZ16" s="212">
        <f t="shared" si="1"/>
        <v>6418</v>
      </c>
      <c r="DA16" s="214"/>
    </row>
    <row r="17" spans="1:105" s="162" customFormat="1" ht="14.25">
      <c r="A17" s="199" t="s">
        <v>45</v>
      </c>
      <c r="B17" s="205"/>
      <c r="C17" s="163"/>
      <c r="D17" s="163"/>
      <c r="E17" s="164"/>
      <c r="F17" s="206"/>
      <c r="G17" s="166"/>
      <c r="H17" s="166"/>
      <c r="I17" s="171"/>
      <c r="J17" s="207"/>
      <c r="K17" s="170"/>
      <c r="L17" s="170"/>
      <c r="M17" s="171"/>
      <c r="N17" s="207"/>
      <c r="O17" s="170"/>
      <c r="P17" s="170"/>
      <c r="Q17" s="171"/>
      <c r="R17" s="207"/>
      <c r="S17" s="170"/>
      <c r="T17" s="170"/>
      <c r="U17" s="171"/>
      <c r="V17" s="207"/>
      <c r="W17" s="170"/>
      <c r="X17" s="170"/>
      <c r="Y17" s="171"/>
      <c r="Z17" s="207"/>
      <c r="AA17" s="170"/>
      <c r="AB17" s="170"/>
      <c r="AC17" s="171"/>
      <c r="AD17" s="206"/>
      <c r="AE17" s="166"/>
      <c r="AF17" s="166"/>
      <c r="AG17" s="167"/>
      <c r="AH17" s="165"/>
      <c r="AI17" s="166"/>
      <c r="AJ17" s="166"/>
      <c r="AK17" s="167"/>
      <c r="AL17" s="165"/>
      <c r="AM17" s="166"/>
      <c r="AN17" s="166"/>
      <c r="AO17" s="168"/>
      <c r="AP17" s="169"/>
      <c r="AQ17" s="170"/>
      <c r="AR17" s="170"/>
      <c r="AS17" s="186"/>
      <c r="AT17" s="165"/>
      <c r="AU17" s="166"/>
      <c r="AV17" s="166"/>
      <c r="AW17" s="168"/>
      <c r="AX17" s="172"/>
      <c r="AY17" s="173"/>
      <c r="AZ17" s="173"/>
      <c r="BA17" s="208"/>
      <c r="BB17" s="165"/>
      <c r="BC17" s="166"/>
      <c r="BD17" s="166"/>
      <c r="BE17" s="168"/>
      <c r="BF17" s="165"/>
      <c r="BG17" s="166"/>
      <c r="BH17" s="166"/>
      <c r="BI17" s="168"/>
      <c r="BJ17" s="165">
        <v>3408627</v>
      </c>
      <c r="BK17" s="166">
        <v>2790556</v>
      </c>
      <c r="BL17" s="166">
        <v>10187321</v>
      </c>
      <c r="BM17" s="209">
        <v>8761109</v>
      </c>
      <c r="BN17" s="165"/>
      <c r="BO17" s="166"/>
      <c r="BP17" s="166"/>
      <c r="BQ17" s="168"/>
      <c r="BR17" s="165"/>
      <c r="BS17" s="166"/>
      <c r="BT17" s="166"/>
      <c r="BU17" s="168"/>
      <c r="BV17" s="175"/>
      <c r="BW17" s="166"/>
      <c r="BX17" s="166"/>
      <c r="BY17" s="168"/>
      <c r="BZ17" s="374"/>
      <c r="CA17" s="367"/>
      <c r="CB17" s="367"/>
      <c r="CC17" s="375"/>
      <c r="CD17" s="365">
        <v>1231</v>
      </c>
      <c r="CE17" s="193">
        <v>1218</v>
      </c>
      <c r="CF17" s="193">
        <v>3503</v>
      </c>
      <c r="CG17" s="210">
        <v>3345</v>
      </c>
      <c r="CH17" s="194"/>
      <c r="CI17" s="195"/>
      <c r="CJ17" s="195"/>
      <c r="CK17" s="211"/>
      <c r="CL17" s="169"/>
      <c r="CM17" s="170"/>
      <c r="CN17" s="170"/>
      <c r="CO17" s="186"/>
      <c r="CP17" s="197">
        <f aca="true" t="shared" si="4" ref="CP17:CP22">SUM(B17+F17+J17+N17+R17+V17+Z17+AD17+AH17+AL17+AP17+AT17+AX17+BB17+BF17+BJ17+BN17+BR17+BV17+BZ17+CD17+CH17+CL17)</f>
        <v>3409858</v>
      </c>
      <c r="CQ17" s="212">
        <f t="shared" si="0"/>
        <v>2791774</v>
      </c>
      <c r="CR17" s="212">
        <f t="shared" si="0"/>
        <v>10190824</v>
      </c>
      <c r="CS17" s="213">
        <f t="shared" si="0"/>
        <v>8764454</v>
      </c>
      <c r="CT17" s="169"/>
      <c r="CU17" s="170"/>
      <c r="CV17" s="170"/>
      <c r="CW17" s="171"/>
      <c r="CX17" s="197">
        <f t="shared" si="3"/>
        <v>3409858</v>
      </c>
      <c r="CY17" s="212">
        <f t="shared" si="1"/>
        <v>2791774</v>
      </c>
      <c r="CZ17" s="212">
        <f t="shared" si="1"/>
        <v>10190824</v>
      </c>
      <c r="DA17" s="214">
        <f t="shared" si="1"/>
        <v>8764454</v>
      </c>
    </row>
    <row r="18" spans="1:105" s="162" customFormat="1" ht="14.25">
      <c r="A18" s="199" t="s">
        <v>46</v>
      </c>
      <c r="B18" s="205"/>
      <c r="C18" s="163"/>
      <c r="D18" s="163"/>
      <c r="E18" s="164"/>
      <c r="F18" s="206"/>
      <c r="G18" s="166"/>
      <c r="H18" s="166"/>
      <c r="I18" s="171"/>
      <c r="J18" s="207"/>
      <c r="K18" s="170"/>
      <c r="L18" s="170"/>
      <c r="M18" s="171"/>
      <c r="N18" s="207"/>
      <c r="O18" s="170"/>
      <c r="P18" s="170"/>
      <c r="Q18" s="171"/>
      <c r="R18" s="207"/>
      <c r="S18" s="170"/>
      <c r="T18" s="170"/>
      <c r="U18" s="171"/>
      <c r="V18" s="207"/>
      <c r="W18" s="170"/>
      <c r="X18" s="170"/>
      <c r="Y18" s="171"/>
      <c r="Z18" s="207"/>
      <c r="AA18" s="170"/>
      <c r="AB18" s="170"/>
      <c r="AC18" s="171"/>
      <c r="AD18" s="206"/>
      <c r="AE18" s="166"/>
      <c r="AF18" s="166"/>
      <c r="AG18" s="167"/>
      <c r="AH18" s="165"/>
      <c r="AI18" s="166"/>
      <c r="AJ18" s="166"/>
      <c r="AK18" s="167"/>
      <c r="AL18" s="165"/>
      <c r="AM18" s="166"/>
      <c r="AN18" s="166"/>
      <c r="AO18" s="168"/>
      <c r="AP18" s="169">
        <v>1630086</v>
      </c>
      <c r="AQ18" s="170">
        <v>1435626</v>
      </c>
      <c r="AR18" s="170">
        <v>4124988</v>
      </c>
      <c r="AS18" s="186">
        <v>3049968</v>
      </c>
      <c r="AT18" s="165"/>
      <c r="AU18" s="166"/>
      <c r="AV18" s="166"/>
      <c r="AW18" s="168"/>
      <c r="AX18" s="172"/>
      <c r="AY18" s="173"/>
      <c r="AZ18" s="173"/>
      <c r="BA18" s="208"/>
      <c r="BB18" s="165"/>
      <c r="BC18" s="166"/>
      <c r="BD18" s="166"/>
      <c r="BE18" s="168"/>
      <c r="BF18" s="165"/>
      <c r="BG18" s="166"/>
      <c r="BH18" s="166"/>
      <c r="BI18" s="168"/>
      <c r="BJ18" s="165"/>
      <c r="BK18" s="166"/>
      <c r="BL18" s="166"/>
      <c r="BM18" s="209"/>
      <c r="BN18" s="165"/>
      <c r="BO18" s="166"/>
      <c r="BP18" s="166"/>
      <c r="BQ18" s="168"/>
      <c r="BR18" s="165"/>
      <c r="BS18" s="166"/>
      <c r="BT18" s="166"/>
      <c r="BU18" s="168"/>
      <c r="BV18" s="175"/>
      <c r="BW18" s="166"/>
      <c r="BX18" s="166"/>
      <c r="BY18" s="168"/>
      <c r="BZ18" s="374"/>
      <c r="CA18" s="367"/>
      <c r="CB18" s="367"/>
      <c r="CC18" s="375"/>
      <c r="CD18" s="365"/>
      <c r="CE18" s="193"/>
      <c r="CF18" s="193"/>
      <c r="CG18" s="210"/>
      <c r="CH18" s="194"/>
      <c r="CI18" s="195"/>
      <c r="CJ18" s="195"/>
      <c r="CK18" s="211"/>
      <c r="CL18" s="169"/>
      <c r="CM18" s="170"/>
      <c r="CN18" s="170"/>
      <c r="CO18" s="186"/>
      <c r="CP18" s="197">
        <f t="shared" si="4"/>
        <v>1630086</v>
      </c>
      <c r="CQ18" s="212">
        <f t="shared" si="0"/>
        <v>1435626</v>
      </c>
      <c r="CR18" s="212">
        <f t="shared" si="0"/>
        <v>4124988</v>
      </c>
      <c r="CS18" s="213">
        <f t="shared" si="0"/>
        <v>3049968</v>
      </c>
      <c r="CT18" s="169"/>
      <c r="CU18" s="170"/>
      <c r="CV18" s="170"/>
      <c r="CW18" s="171"/>
      <c r="CX18" s="197">
        <f t="shared" si="3"/>
        <v>1630086</v>
      </c>
      <c r="CY18" s="212">
        <f t="shared" si="1"/>
        <v>1435626</v>
      </c>
      <c r="CZ18" s="212">
        <f t="shared" si="1"/>
        <v>4124988</v>
      </c>
      <c r="DA18" s="214">
        <f t="shared" si="1"/>
        <v>3049968</v>
      </c>
    </row>
    <row r="19" spans="1:105" s="162" customFormat="1" ht="14.25">
      <c r="A19" s="199" t="s">
        <v>47</v>
      </c>
      <c r="B19" s="205"/>
      <c r="C19" s="163"/>
      <c r="D19" s="163"/>
      <c r="E19" s="164"/>
      <c r="F19" s="206"/>
      <c r="G19" s="166"/>
      <c r="H19" s="166"/>
      <c r="I19" s="171"/>
      <c r="J19" s="207"/>
      <c r="K19" s="170"/>
      <c r="L19" s="170"/>
      <c r="M19" s="171"/>
      <c r="N19" s="207"/>
      <c r="O19" s="170"/>
      <c r="P19" s="170"/>
      <c r="Q19" s="171"/>
      <c r="R19" s="207"/>
      <c r="S19" s="170"/>
      <c r="T19" s="170"/>
      <c r="U19" s="171"/>
      <c r="V19" s="207"/>
      <c r="W19" s="170"/>
      <c r="X19" s="170"/>
      <c r="Y19" s="171"/>
      <c r="Z19" s="207"/>
      <c r="AA19" s="170"/>
      <c r="AB19" s="170"/>
      <c r="AC19" s="171"/>
      <c r="AD19" s="206"/>
      <c r="AE19" s="166"/>
      <c r="AF19" s="166"/>
      <c r="AG19" s="167"/>
      <c r="AH19" s="165"/>
      <c r="AI19" s="166"/>
      <c r="AJ19" s="166"/>
      <c r="AK19" s="167"/>
      <c r="AL19" s="165"/>
      <c r="AM19" s="166"/>
      <c r="AN19" s="166"/>
      <c r="AO19" s="168"/>
      <c r="AP19" s="169">
        <v>62625</v>
      </c>
      <c r="AQ19" s="170">
        <v>58297</v>
      </c>
      <c r="AR19" s="170">
        <v>177493</v>
      </c>
      <c r="AS19" s="186">
        <v>173206</v>
      </c>
      <c r="AT19" s="165"/>
      <c r="AU19" s="166"/>
      <c r="AV19" s="166"/>
      <c r="AW19" s="168"/>
      <c r="AX19" s="172"/>
      <c r="AY19" s="173"/>
      <c r="AZ19" s="173"/>
      <c r="BA19" s="208"/>
      <c r="BB19" s="165"/>
      <c r="BC19" s="166"/>
      <c r="BD19" s="166"/>
      <c r="BE19" s="168"/>
      <c r="BF19" s="165"/>
      <c r="BG19" s="166"/>
      <c r="BH19" s="166"/>
      <c r="BI19" s="168"/>
      <c r="BJ19" s="165"/>
      <c r="BK19" s="166"/>
      <c r="BL19" s="166"/>
      <c r="BM19" s="209"/>
      <c r="BN19" s="165"/>
      <c r="BO19" s="166"/>
      <c r="BP19" s="166"/>
      <c r="BQ19" s="168"/>
      <c r="BR19" s="165"/>
      <c r="BS19" s="166"/>
      <c r="BT19" s="166"/>
      <c r="BU19" s="168"/>
      <c r="BV19" s="175"/>
      <c r="BW19" s="166"/>
      <c r="BX19" s="166"/>
      <c r="BY19" s="168"/>
      <c r="BZ19" s="374"/>
      <c r="CA19" s="367"/>
      <c r="CB19" s="367"/>
      <c r="CC19" s="375"/>
      <c r="CD19" s="365"/>
      <c r="CE19" s="193"/>
      <c r="CF19" s="193"/>
      <c r="CG19" s="210"/>
      <c r="CH19" s="194"/>
      <c r="CI19" s="195"/>
      <c r="CJ19" s="195"/>
      <c r="CK19" s="211"/>
      <c r="CL19" s="169"/>
      <c r="CM19" s="170"/>
      <c r="CN19" s="170"/>
      <c r="CO19" s="186"/>
      <c r="CP19" s="197">
        <f t="shared" si="4"/>
        <v>62625</v>
      </c>
      <c r="CQ19" s="212">
        <f t="shared" si="0"/>
        <v>58297</v>
      </c>
      <c r="CR19" s="212">
        <f t="shared" si="0"/>
        <v>177493</v>
      </c>
      <c r="CS19" s="213">
        <f t="shared" si="0"/>
        <v>173206</v>
      </c>
      <c r="CT19" s="169"/>
      <c r="CU19" s="170"/>
      <c r="CV19" s="170"/>
      <c r="CW19" s="171"/>
      <c r="CX19" s="197">
        <f t="shared" si="3"/>
        <v>62625</v>
      </c>
      <c r="CY19" s="212">
        <f t="shared" si="1"/>
        <v>58297</v>
      </c>
      <c r="CZ19" s="212">
        <f t="shared" si="1"/>
        <v>177493</v>
      </c>
      <c r="DA19" s="214">
        <f t="shared" si="1"/>
        <v>173206</v>
      </c>
    </row>
    <row r="20" spans="1:105" s="162" customFormat="1" ht="14.25">
      <c r="A20" s="199" t="s">
        <v>48</v>
      </c>
      <c r="B20" s="205"/>
      <c r="C20" s="163"/>
      <c r="D20" s="163"/>
      <c r="E20" s="164"/>
      <c r="F20" s="206">
        <v>6883</v>
      </c>
      <c r="G20" s="166">
        <v>5299</v>
      </c>
      <c r="H20" s="166">
        <v>28095</v>
      </c>
      <c r="I20" s="171">
        <v>20929</v>
      </c>
      <c r="J20" s="207">
        <v>51911</v>
      </c>
      <c r="K20" s="170">
        <v>29767</v>
      </c>
      <c r="L20" s="170">
        <v>146446</v>
      </c>
      <c r="M20" s="171">
        <v>120693</v>
      </c>
      <c r="N20" s="207">
        <v>228250</v>
      </c>
      <c r="O20" s="170">
        <v>46124</v>
      </c>
      <c r="P20" s="170">
        <v>399112</v>
      </c>
      <c r="Q20" s="171">
        <v>183985</v>
      </c>
      <c r="R20" s="207"/>
      <c r="S20" s="170"/>
      <c r="T20" s="170"/>
      <c r="U20" s="171"/>
      <c r="V20" s="207"/>
      <c r="W20" s="170"/>
      <c r="X20" s="170"/>
      <c r="Y20" s="171"/>
      <c r="Z20" s="207">
        <v>-1770</v>
      </c>
      <c r="AA20" s="170">
        <v>-7792</v>
      </c>
      <c r="AB20" s="170">
        <v>9891</v>
      </c>
      <c r="AC20" s="171">
        <v>18527</v>
      </c>
      <c r="AD20" s="206"/>
      <c r="AE20" s="166"/>
      <c r="AF20" s="166">
        <v>1785</v>
      </c>
      <c r="AG20" s="167">
        <v>2186</v>
      </c>
      <c r="AH20" s="165"/>
      <c r="AI20" s="166"/>
      <c r="AJ20" s="166"/>
      <c r="AK20" s="167"/>
      <c r="AL20" s="165"/>
      <c r="AM20" s="166"/>
      <c r="AN20" s="166"/>
      <c r="AO20" s="168"/>
      <c r="AP20" s="169">
        <v>131991</v>
      </c>
      <c r="AQ20" s="170">
        <v>96098</v>
      </c>
      <c r="AR20" s="170">
        <v>513231</v>
      </c>
      <c r="AS20" s="186">
        <v>459443</v>
      </c>
      <c r="AT20" s="165">
        <v>118857</v>
      </c>
      <c r="AU20" s="166">
        <v>133542</v>
      </c>
      <c r="AV20" s="166">
        <v>490359</v>
      </c>
      <c r="AW20" s="168">
        <v>482269</v>
      </c>
      <c r="AX20" s="172"/>
      <c r="AY20" s="173"/>
      <c r="AZ20" s="173"/>
      <c r="BA20" s="208"/>
      <c r="BB20" s="165"/>
      <c r="BC20" s="166"/>
      <c r="BD20" s="166"/>
      <c r="BE20" s="168"/>
      <c r="BF20" s="165"/>
      <c r="BG20" s="166"/>
      <c r="BH20" s="166"/>
      <c r="BI20" s="168"/>
      <c r="BJ20" s="165"/>
      <c r="BK20" s="166"/>
      <c r="BL20" s="166"/>
      <c r="BM20" s="209"/>
      <c r="BN20" s="165">
        <v>39229</v>
      </c>
      <c r="BO20" s="166">
        <v>28228</v>
      </c>
      <c r="BP20" s="166">
        <v>148347</v>
      </c>
      <c r="BQ20" s="168">
        <v>116523</v>
      </c>
      <c r="BR20" s="165"/>
      <c r="BS20" s="166"/>
      <c r="BT20" s="166"/>
      <c r="BU20" s="168"/>
      <c r="BV20" s="175"/>
      <c r="BW20" s="166"/>
      <c r="BX20" s="166"/>
      <c r="BY20" s="168"/>
      <c r="BZ20" s="374">
        <v>69349</v>
      </c>
      <c r="CA20" s="367">
        <v>117942</v>
      </c>
      <c r="CB20" s="367">
        <v>328979</v>
      </c>
      <c r="CC20" s="375">
        <v>388372</v>
      </c>
      <c r="CD20" s="365"/>
      <c r="CE20" s="193"/>
      <c r="CF20" s="193"/>
      <c r="CG20" s="210"/>
      <c r="CH20" s="194"/>
      <c r="CI20" s="195"/>
      <c r="CJ20" s="195"/>
      <c r="CK20" s="211"/>
      <c r="CL20" s="169">
        <v>26622</v>
      </c>
      <c r="CM20" s="170">
        <v>28967</v>
      </c>
      <c r="CN20" s="170">
        <v>107670</v>
      </c>
      <c r="CO20" s="186">
        <v>164257</v>
      </c>
      <c r="CP20" s="197">
        <f t="shared" si="4"/>
        <v>671322</v>
      </c>
      <c r="CQ20" s="212">
        <f t="shared" si="0"/>
        <v>478175</v>
      </c>
      <c r="CR20" s="212">
        <f t="shared" si="0"/>
        <v>2173915</v>
      </c>
      <c r="CS20" s="213">
        <f t="shared" si="0"/>
        <v>1957184</v>
      </c>
      <c r="CT20" s="169"/>
      <c r="CU20" s="170"/>
      <c r="CV20" s="170"/>
      <c r="CW20" s="171"/>
      <c r="CX20" s="197">
        <f t="shared" si="3"/>
        <v>671322</v>
      </c>
      <c r="CY20" s="212">
        <f t="shared" si="1"/>
        <v>478175</v>
      </c>
      <c r="CZ20" s="212">
        <f t="shared" si="1"/>
        <v>2173915</v>
      </c>
      <c r="DA20" s="214">
        <f t="shared" si="1"/>
        <v>1957184</v>
      </c>
    </row>
    <row r="21" spans="1:105" s="162" customFormat="1" ht="14.25">
      <c r="A21" s="199" t="s">
        <v>49</v>
      </c>
      <c r="B21" s="205"/>
      <c r="C21" s="163"/>
      <c r="D21" s="163"/>
      <c r="E21" s="164"/>
      <c r="F21" s="206"/>
      <c r="G21" s="166"/>
      <c r="H21" s="166"/>
      <c r="I21" s="171"/>
      <c r="J21" s="207"/>
      <c r="K21" s="170"/>
      <c r="L21" s="170"/>
      <c r="M21" s="171"/>
      <c r="N21" s="207"/>
      <c r="O21" s="170"/>
      <c r="P21" s="170"/>
      <c r="Q21" s="171"/>
      <c r="R21" s="207"/>
      <c r="S21" s="170"/>
      <c r="T21" s="170"/>
      <c r="U21" s="171"/>
      <c r="V21" s="207"/>
      <c r="W21" s="170"/>
      <c r="X21" s="170"/>
      <c r="Y21" s="171"/>
      <c r="Z21" s="207">
        <v>1475</v>
      </c>
      <c r="AA21" s="170">
        <v>2850</v>
      </c>
      <c r="AB21" s="170">
        <v>5723</v>
      </c>
      <c r="AC21" s="171">
        <v>6977</v>
      </c>
      <c r="AD21" s="206"/>
      <c r="AE21" s="166"/>
      <c r="AF21" s="166"/>
      <c r="AG21" s="167"/>
      <c r="AH21" s="165"/>
      <c r="AI21" s="166"/>
      <c r="AJ21" s="166"/>
      <c r="AK21" s="167"/>
      <c r="AL21" s="165">
        <v>5313</v>
      </c>
      <c r="AM21" s="166">
        <v>1035</v>
      </c>
      <c r="AN21" s="166">
        <v>10778</v>
      </c>
      <c r="AO21" s="168">
        <v>1883</v>
      </c>
      <c r="AP21" s="169"/>
      <c r="AQ21" s="170"/>
      <c r="AR21" s="170"/>
      <c r="AS21" s="186"/>
      <c r="AT21" s="165"/>
      <c r="AU21" s="166"/>
      <c r="AV21" s="166"/>
      <c r="AW21" s="168"/>
      <c r="AX21" s="172"/>
      <c r="AY21" s="173"/>
      <c r="AZ21" s="173"/>
      <c r="BA21" s="208"/>
      <c r="BB21" s="165">
        <v>1132</v>
      </c>
      <c r="BC21" s="166">
        <v>1791</v>
      </c>
      <c r="BD21" s="166">
        <v>5875</v>
      </c>
      <c r="BE21" s="168">
        <v>5473</v>
      </c>
      <c r="BF21" s="165"/>
      <c r="BG21" s="166"/>
      <c r="BH21" s="166"/>
      <c r="BI21" s="168"/>
      <c r="BJ21" s="165"/>
      <c r="BK21" s="166"/>
      <c r="BL21" s="166"/>
      <c r="BM21" s="209"/>
      <c r="BN21" s="165"/>
      <c r="BO21" s="166"/>
      <c r="BP21" s="166"/>
      <c r="BQ21" s="168"/>
      <c r="BR21" s="165">
        <v>4788</v>
      </c>
      <c r="BS21" s="166">
        <v>-2484</v>
      </c>
      <c r="BT21" s="166">
        <v>12683</v>
      </c>
      <c r="BU21" s="168">
        <v>11225</v>
      </c>
      <c r="BV21" s="175"/>
      <c r="BW21" s="166"/>
      <c r="BX21" s="166"/>
      <c r="BY21" s="168"/>
      <c r="BZ21" s="374"/>
      <c r="CA21" s="367"/>
      <c r="CB21" s="170"/>
      <c r="CC21" s="375"/>
      <c r="CD21" s="365"/>
      <c r="CE21" s="193"/>
      <c r="CF21" s="193"/>
      <c r="CG21" s="210"/>
      <c r="CH21" s="194"/>
      <c r="CI21" s="195"/>
      <c r="CJ21" s="195"/>
      <c r="CK21" s="211"/>
      <c r="CL21" s="169"/>
      <c r="CM21" s="170"/>
      <c r="CN21" s="170"/>
      <c r="CO21" s="186"/>
      <c r="CP21" s="197">
        <f t="shared" si="4"/>
        <v>12708</v>
      </c>
      <c r="CQ21" s="212">
        <f t="shared" si="0"/>
        <v>3192</v>
      </c>
      <c r="CR21" s="212">
        <f t="shared" si="0"/>
        <v>35059</v>
      </c>
      <c r="CS21" s="213">
        <f t="shared" si="0"/>
        <v>25558</v>
      </c>
      <c r="CT21" s="169"/>
      <c r="CU21" s="170"/>
      <c r="CV21" s="170"/>
      <c r="CW21" s="171"/>
      <c r="CX21" s="197">
        <f t="shared" si="3"/>
        <v>12708</v>
      </c>
      <c r="CY21" s="212">
        <f t="shared" si="1"/>
        <v>3192</v>
      </c>
      <c r="CZ21" s="212">
        <f t="shared" si="1"/>
        <v>35059</v>
      </c>
      <c r="DA21" s="214">
        <f t="shared" si="1"/>
        <v>25558</v>
      </c>
    </row>
    <row r="22" spans="1:105" s="162" customFormat="1" ht="14.25">
      <c r="A22" s="199" t="s">
        <v>50</v>
      </c>
      <c r="B22" s="205"/>
      <c r="C22" s="163"/>
      <c r="D22" s="163"/>
      <c r="E22" s="164"/>
      <c r="F22" s="206"/>
      <c r="G22" s="166"/>
      <c r="H22" s="166"/>
      <c r="I22" s="171"/>
      <c r="J22" s="207"/>
      <c r="K22" s="170"/>
      <c r="L22" s="170"/>
      <c r="M22" s="171"/>
      <c r="N22" s="207">
        <v>51877</v>
      </c>
      <c r="O22" s="170">
        <v>72067</v>
      </c>
      <c r="P22" s="170">
        <v>228297</v>
      </c>
      <c r="Q22" s="171">
        <v>201481</v>
      </c>
      <c r="R22" s="207"/>
      <c r="S22" s="170"/>
      <c r="T22" s="170"/>
      <c r="U22" s="171"/>
      <c r="V22" s="207"/>
      <c r="W22" s="170"/>
      <c r="X22" s="170"/>
      <c r="Y22" s="171"/>
      <c r="Z22" s="207">
        <v>2016</v>
      </c>
      <c r="AA22" s="170">
        <v>10316</v>
      </c>
      <c r="AB22" s="170">
        <v>4195</v>
      </c>
      <c r="AC22" s="171">
        <v>10316</v>
      </c>
      <c r="AD22" s="206"/>
      <c r="AE22" s="166"/>
      <c r="AF22" s="166"/>
      <c r="AG22" s="167"/>
      <c r="AH22" s="165"/>
      <c r="AI22" s="166"/>
      <c r="AJ22" s="166"/>
      <c r="AK22" s="167"/>
      <c r="AL22" s="165">
        <f>132786+828+1576</f>
        <v>135190</v>
      </c>
      <c r="AM22" s="216">
        <f>96727+165+2251</f>
        <v>99143</v>
      </c>
      <c r="AN22" s="216">
        <f>484313+64081+4645</f>
        <v>553039</v>
      </c>
      <c r="AO22" s="216">
        <f>322863+503125+4949</f>
        <v>830937</v>
      </c>
      <c r="AP22" s="169"/>
      <c r="AQ22" s="170"/>
      <c r="AR22" s="170"/>
      <c r="AS22" s="186"/>
      <c r="AT22" s="165"/>
      <c r="AU22" s="166"/>
      <c r="AV22" s="166"/>
      <c r="AW22" s="168"/>
      <c r="AX22" s="172">
        <v>1828</v>
      </c>
      <c r="AY22" s="173">
        <v>506</v>
      </c>
      <c r="AZ22" s="173">
        <v>2882</v>
      </c>
      <c r="BA22" s="208">
        <v>1663</v>
      </c>
      <c r="BB22" s="165"/>
      <c r="BC22" s="166"/>
      <c r="BD22" s="166"/>
      <c r="BE22" s="168"/>
      <c r="BF22" s="165">
        <v>12191</v>
      </c>
      <c r="BG22" s="166">
        <v>8451</v>
      </c>
      <c r="BH22" s="166">
        <v>34988</v>
      </c>
      <c r="BI22" s="168">
        <v>41354</v>
      </c>
      <c r="BJ22" s="165">
        <v>64728</v>
      </c>
      <c r="BK22" s="166">
        <v>58168</v>
      </c>
      <c r="BL22" s="166">
        <v>215268</v>
      </c>
      <c r="BM22" s="209">
        <v>196007</v>
      </c>
      <c r="BN22" s="165"/>
      <c r="BO22" s="166"/>
      <c r="BP22" s="166"/>
      <c r="BQ22" s="168"/>
      <c r="BR22" s="165">
        <v>79612</v>
      </c>
      <c r="BS22" s="166">
        <v>89162</v>
      </c>
      <c r="BT22" s="166">
        <v>178578</v>
      </c>
      <c r="BU22" s="168">
        <v>380821</v>
      </c>
      <c r="BV22" s="175"/>
      <c r="BW22" s="166"/>
      <c r="BX22" s="166"/>
      <c r="BY22" s="168"/>
      <c r="BZ22" s="374">
        <v>7660</v>
      </c>
      <c r="CA22" s="367">
        <v>6702</v>
      </c>
      <c r="CB22" s="367">
        <v>8931</v>
      </c>
      <c r="CC22" s="375">
        <v>21391</v>
      </c>
      <c r="CD22" s="365">
        <v>-190</v>
      </c>
      <c r="CE22" s="193">
        <v>11553</v>
      </c>
      <c r="CF22" s="193">
        <v>-14155</v>
      </c>
      <c r="CG22" s="210">
        <v>46267</v>
      </c>
      <c r="CH22" s="194">
        <f>2858+392+2806+1207</f>
        <v>7263</v>
      </c>
      <c r="CI22" s="195">
        <f>4408+525+1947</f>
        <v>6880</v>
      </c>
      <c r="CJ22" s="195">
        <f>12201+2946+5412+1207</f>
        <v>21766</v>
      </c>
      <c r="CK22" s="211">
        <f>26396+3599+9566</f>
        <v>39561</v>
      </c>
      <c r="CL22" s="169"/>
      <c r="CM22" s="170"/>
      <c r="CN22" s="170">
        <v>3763</v>
      </c>
      <c r="CO22" s="186">
        <v>-6609</v>
      </c>
      <c r="CP22" s="197">
        <f t="shared" si="4"/>
        <v>362175</v>
      </c>
      <c r="CQ22" s="212">
        <f>SUM(C22+G22+K22+O22+S22+W22+AA22+AE22+AI22+AM22+AQ22+AU22+AY22+BC22+BG22+BK22+BO22+BS22+BW22+CA22+CE22+CI22+CM22)</f>
        <v>362948</v>
      </c>
      <c r="CR22" s="212">
        <f>SUM(D22+H22+L22+P22+T22+X22+AB22+AF22+AJ22+AN22+AR22+AV22+AZ22+BD22+BH22+BL22+BP22+BT22+BX22+CB22+CF22+CJ22+CN22)</f>
        <v>1237552</v>
      </c>
      <c r="CS22" s="213">
        <f>SUM(E22+I22+M22+Q22+U22+Y22+AC22+AG22+AK22+AO22+AS22+AW22+BA22+BE22+BI22+BM22+BQ22+BU22+BY22+CC22+CG22+CK22+CO22)</f>
        <v>1763189</v>
      </c>
      <c r="CT22" s="169">
        <v>1945387</v>
      </c>
      <c r="CU22" s="170">
        <v>5457799</v>
      </c>
      <c r="CV22" s="170">
        <v>7460095</v>
      </c>
      <c r="CW22" s="171">
        <v>6210020</v>
      </c>
      <c r="CX22" s="197">
        <f t="shared" si="3"/>
        <v>2307562</v>
      </c>
      <c r="CY22" s="212">
        <f>CQ22+CU22</f>
        <v>5820747</v>
      </c>
      <c r="CZ22" s="212">
        <f>CR22+CV22</f>
        <v>8697647</v>
      </c>
      <c r="DA22" s="214">
        <f>CS22+CW22</f>
        <v>7973209</v>
      </c>
    </row>
    <row r="23" spans="1:105" s="162" customFormat="1" ht="14.25">
      <c r="A23" s="199" t="s">
        <v>51</v>
      </c>
      <c r="B23" s="205"/>
      <c r="C23" s="163"/>
      <c r="D23" s="163"/>
      <c r="E23" s="164"/>
      <c r="F23" s="206"/>
      <c r="G23" s="166"/>
      <c r="H23" s="166"/>
      <c r="I23" s="171"/>
      <c r="J23" s="207"/>
      <c r="K23" s="170"/>
      <c r="L23" s="170"/>
      <c r="M23" s="171"/>
      <c r="N23" s="207"/>
      <c r="O23" s="170"/>
      <c r="P23" s="170"/>
      <c r="Q23" s="171"/>
      <c r="R23" s="207"/>
      <c r="S23" s="170"/>
      <c r="T23" s="170"/>
      <c r="U23" s="171"/>
      <c r="V23" s="207"/>
      <c r="W23" s="170"/>
      <c r="X23" s="170"/>
      <c r="Y23" s="171"/>
      <c r="Z23" s="207"/>
      <c r="AA23" s="170"/>
      <c r="AB23" s="170"/>
      <c r="AC23" s="171"/>
      <c r="AD23" s="206"/>
      <c r="AE23" s="166"/>
      <c r="AF23" s="166"/>
      <c r="AG23" s="167"/>
      <c r="AH23" s="165"/>
      <c r="AI23" s="166"/>
      <c r="AJ23" s="166"/>
      <c r="AK23" s="167"/>
      <c r="AL23" s="165"/>
      <c r="AM23" s="166"/>
      <c r="AN23" s="166"/>
      <c r="AO23" s="168"/>
      <c r="AP23" s="169"/>
      <c r="AQ23" s="170"/>
      <c r="AR23" s="170"/>
      <c r="AS23" s="186"/>
      <c r="AT23" s="165"/>
      <c r="AU23" s="166"/>
      <c r="AV23" s="166"/>
      <c r="AW23" s="168"/>
      <c r="AX23" s="172"/>
      <c r="AY23" s="173"/>
      <c r="AZ23" s="173"/>
      <c r="BA23" s="208"/>
      <c r="BB23" s="165"/>
      <c r="BC23" s="166"/>
      <c r="BD23" s="166"/>
      <c r="BE23" s="168"/>
      <c r="BF23" s="165"/>
      <c r="BG23" s="166"/>
      <c r="BH23" s="166"/>
      <c r="BI23" s="168"/>
      <c r="BJ23" s="165"/>
      <c r="BK23" s="166"/>
      <c r="BL23" s="166"/>
      <c r="BM23" s="209"/>
      <c r="BN23" s="165"/>
      <c r="BO23" s="166"/>
      <c r="BP23" s="166"/>
      <c r="BQ23" s="168"/>
      <c r="BR23" s="165"/>
      <c r="BS23" s="166"/>
      <c r="BT23" s="166"/>
      <c r="BU23" s="168"/>
      <c r="BV23" s="175"/>
      <c r="BW23" s="166"/>
      <c r="BX23" s="166"/>
      <c r="BY23" s="168"/>
      <c r="BZ23" s="169"/>
      <c r="CA23" s="170"/>
      <c r="CB23" s="170"/>
      <c r="CC23" s="171"/>
      <c r="CD23" s="365"/>
      <c r="CE23" s="193"/>
      <c r="CF23" s="193"/>
      <c r="CG23" s="210"/>
      <c r="CH23" s="194"/>
      <c r="CI23" s="195"/>
      <c r="CJ23" s="195"/>
      <c r="CK23" s="211"/>
      <c r="CL23" s="169"/>
      <c r="CM23" s="170"/>
      <c r="CN23" s="170"/>
      <c r="CO23" s="186"/>
      <c r="CP23" s="197"/>
      <c r="CQ23" s="212"/>
      <c r="CR23" s="212"/>
      <c r="CS23" s="213"/>
      <c r="CT23" s="169"/>
      <c r="CU23" s="170"/>
      <c r="CV23" s="170"/>
      <c r="CW23" s="171"/>
      <c r="CX23" s="197"/>
      <c r="CY23" s="212"/>
      <c r="CZ23" s="212"/>
      <c r="DA23" s="214"/>
    </row>
    <row r="24" spans="1:105" s="162" customFormat="1" ht="14.25">
      <c r="A24" s="199" t="s">
        <v>34</v>
      </c>
      <c r="B24" s="217">
        <v>-429066</v>
      </c>
      <c r="C24" s="218">
        <v>-457285</v>
      </c>
      <c r="D24" s="218">
        <v>-1779178</v>
      </c>
      <c r="E24" s="219">
        <v>-1510817</v>
      </c>
      <c r="F24" s="220">
        <v>-126715</v>
      </c>
      <c r="G24" s="183">
        <v>-64045</v>
      </c>
      <c r="H24" s="183">
        <v>-460058</v>
      </c>
      <c r="I24" s="202">
        <v>-216237</v>
      </c>
      <c r="J24" s="212">
        <v>-131947</v>
      </c>
      <c r="K24" s="201">
        <v>-123595</v>
      </c>
      <c r="L24" s="201">
        <v>-480808</v>
      </c>
      <c r="M24" s="202">
        <v>-498925</v>
      </c>
      <c r="N24" s="212">
        <v>-147466</v>
      </c>
      <c r="O24" s="201">
        <v>-194658</v>
      </c>
      <c r="P24" s="201">
        <v>-490293</v>
      </c>
      <c r="Q24" s="202">
        <v>-550661</v>
      </c>
      <c r="R24" s="212">
        <v>-59184</v>
      </c>
      <c r="S24" s="201">
        <v>-59416</v>
      </c>
      <c r="T24" s="201">
        <v>-173599</v>
      </c>
      <c r="U24" s="202">
        <v>-203980</v>
      </c>
      <c r="V24" s="212">
        <v>-89343</v>
      </c>
      <c r="W24" s="201">
        <v>-57135</v>
      </c>
      <c r="X24" s="201">
        <v>-363203</v>
      </c>
      <c r="Y24" s="202">
        <v>-167663</v>
      </c>
      <c r="Z24" s="212">
        <v>-379677</v>
      </c>
      <c r="AA24" s="201">
        <v>-312643</v>
      </c>
      <c r="AB24" s="201">
        <v>-1393995</v>
      </c>
      <c r="AC24" s="202">
        <v>-834085</v>
      </c>
      <c r="AD24" s="220">
        <v>-46046</v>
      </c>
      <c r="AE24" s="183">
        <v>-52923</v>
      </c>
      <c r="AF24" s="183">
        <v>-189128</v>
      </c>
      <c r="AG24" s="221">
        <v>-132427</v>
      </c>
      <c r="AH24" s="179">
        <v>-38063</v>
      </c>
      <c r="AI24" s="183">
        <v>-562939</v>
      </c>
      <c r="AJ24" s="183">
        <v>-206196</v>
      </c>
      <c r="AK24" s="221">
        <v>-657367</v>
      </c>
      <c r="AL24" s="179">
        <v>-131736</v>
      </c>
      <c r="AM24" s="183">
        <v>-44834</v>
      </c>
      <c r="AN24" s="183">
        <v>-387234</v>
      </c>
      <c r="AO24" s="180">
        <v>-339100</v>
      </c>
      <c r="AP24" s="197">
        <v>-726119</v>
      </c>
      <c r="AQ24" s="201">
        <v>-536171</v>
      </c>
      <c r="AR24" s="201">
        <v>-2166229</v>
      </c>
      <c r="AS24" s="203">
        <v>-1745406</v>
      </c>
      <c r="AT24" s="179">
        <v>-760999</v>
      </c>
      <c r="AU24" s="183">
        <v>-589993</v>
      </c>
      <c r="AV24" s="183">
        <v>-3287039</v>
      </c>
      <c r="AW24" s="180">
        <v>-2288100</v>
      </c>
      <c r="AX24" s="172">
        <v>-68942</v>
      </c>
      <c r="AY24" s="173">
        <v>-29134</v>
      </c>
      <c r="AZ24" s="173">
        <v>-125937</v>
      </c>
      <c r="BA24" s="208">
        <v>-92766</v>
      </c>
      <c r="BB24" s="179">
        <v>-216490</v>
      </c>
      <c r="BC24" s="183">
        <v>-196218</v>
      </c>
      <c r="BD24" s="183">
        <v>-721622</v>
      </c>
      <c r="BE24" s="180">
        <v>-699576</v>
      </c>
      <c r="BF24" s="222">
        <v>-222022</v>
      </c>
      <c r="BG24" s="223">
        <v>-155011</v>
      </c>
      <c r="BH24" s="223">
        <v>-824021</v>
      </c>
      <c r="BI24" s="224">
        <v>-607933</v>
      </c>
      <c r="BJ24" s="179">
        <v>-553162</v>
      </c>
      <c r="BK24" s="183">
        <v>-300426</v>
      </c>
      <c r="BL24" s="183">
        <v>-1239549</v>
      </c>
      <c r="BM24" s="209">
        <v>-942652</v>
      </c>
      <c r="BN24" s="179">
        <v>-163852</v>
      </c>
      <c r="BO24" s="183">
        <v>-205539</v>
      </c>
      <c r="BP24" s="183">
        <v>-868979</v>
      </c>
      <c r="BQ24" s="180">
        <v>-834942</v>
      </c>
      <c r="BR24" s="179">
        <v>9678</v>
      </c>
      <c r="BS24" s="183">
        <v>-87403</v>
      </c>
      <c r="BT24" s="183">
        <v>-204245</v>
      </c>
      <c r="BU24" s="180">
        <v>-232157</v>
      </c>
      <c r="BV24" s="175"/>
      <c r="BW24" s="166"/>
      <c r="BX24" s="166"/>
      <c r="BY24" s="168"/>
      <c r="BZ24" s="374">
        <v>-251090</v>
      </c>
      <c r="CA24" s="367">
        <v>-512132</v>
      </c>
      <c r="CB24" s="367">
        <v>-1484310</v>
      </c>
      <c r="CC24" s="375">
        <v>-1677537</v>
      </c>
      <c r="CD24" s="365">
        <v>-9864</v>
      </c>
      <c r="CE24" s="193">
        <v>-9806</v>
      </c>
      <c r="CF24" s="193">
        <v>-32357</v>
      </c>
      <c r="CG24" s="210">
        <v>-33312</v>
      </c>
      <c r="CH24" s="194">
        <v>-128911</v>
      </c>
      <c r="CI24" s="195">
        <v>-113059</v>
      </c>
      <c r="CJ24" s="195">
        <v>-447398</v>
      </c>
      <c r="CK24" s="211">
        <v>-369459</v>
      </c>
      <c r="CL24" s="197">
        <v>-315426</v>
      </c>
      <c r="CM24" s="201">
        <v>-255917</v>
      </c>
      <c r="CN24" s="201">
        <v>-879947</v>
      </c>
      <c r="CO24" s="203">
        <v>-787255</v>
      </c>
      <c r="CP24" s="197">
        <f>SUM(B24+F24+J24+N24+R24+V24+Z24+AD24+AH24+AL24+AP24+AT24+AX24+BB24+BF24+BJ24+BN24+BR24+BV24+BZ24+CD24+CH24+CL24)</f>
        <v>-4986442</v>
      </c>
      <c r="CQ24" s="212">
        <f>SUM(C24+G24+K24+O24+S24+W24+AA24+AE24+AI24+AM24+AQ24+AU24+AY24+BC24+BG24+BK24+BO24+BS24+BW24+CA24+CE24+CI24+CM24)</f>
        <v>-4920282</v>
      </c>
      <c r="CR24" s="212">
        <f>SUM(D24+H24+L24+P24+T24+X24+AB24+AF24+AJ24+AN24+AR24+AV24+AZ24+BD24+BH24+BL24+BP24+BT24+BX24+CB24+CF24+CJ24+CN24)</f>
        <v>-18205325</v>
      </c>
      <c r="CS24" s="213">
        <f>SUM(E24+I24+M24+Q24+U24+Y24+AC24+AG24+AK24+AO24+AS24+AW24+BA24+BE24+BI24+BM24+BQ24+BU24+BY24+CC24+CG24+CK24+CO24)</f>
        <v>-15422357</v>
      </c>
      <c r="CT24" s="197">
        <v>-9621145</v>
      </c>
      <c r="CU24" s="201">
        <v>-835027</v>
      </c>
      <c r="CV24" s="201">
        <v>-1617011</v>
      </c>
      <c r="CW24" s="202">
        <v>-1394841</v>
      </c>
      <c r="CX24" s="197">
        <f>CP24+CT24</f>
        <v>-14607587</v>
      </c>
      <c r="CY24" s="212">
        <f>CQ24+CU24</f>
        <v>-5755309</v>
      </c>
      <c r="CZ24" s="212">
        <f>CR24+CV24</f>
        <v>-19822336</v>
      </c>
      <c r="DA24" s="214">
        <f>CS24+CW24</f>
        <v>-16817198</v>
      </c>
    </row>
    <row r="25" spans="1:105" s="162" customFormat="1" ht="14.25">
      <c r="A25" s="199" t="s">
        <v>35</v>
      </c>
      <c r="B25" s="205"/>
      <c r="C25" s="163"/>
      <c r="D25" s="163"/>
      <c r="E25" s="164"/>
      <c r="F25" s="206"/>
      <c r="G25" s="166"/>
      <c r="H25" s="166"/>
      <c r="I25" s="171"/>
      <c r="J25" s="207"/>
      <c r="K25" s="170"/>
      <c r="L25" s="170"/>
      <c r="M25" s="171"/>
      <c r="N25" s="207"/>
      <c r="O25" s="170"/>
      <c r="P25" s="170"/>
      <c r="Q25" s="171"/>
      <c r="R25" s="207"/>
      <c r="S25" s="170"/>
      <c r="T25" s="170"/>
      <c r="U25" s="171"/>
      <c r="V25" s="207"/>
      <c r="W25" s="170"/>
      <c r="X25" s="170"/>
      <c r="Y25" s="171"/>
      <c r="Z25" s="207"/>
      <c r="AA25" s="170"/>
      <c r="AB25" s="170"/>
      <c r="AC25" s="171"/>
      <c r="AD25" s="206"/>
      <c r="AE25" s="166"/>
      <c r="AF25" s="166"/>
      <c r="AG25" s="167"/>
      <c r="AH25" s="165"/>
      <c r="AI25" s="166"/>
      <c r="AJ25" s="166"/>
      <c r="AK25" s="167"/>
      <c r="AL25" s="165"/>
      <c r="AM25" s="166"/>
      <c r="AN25" s="166"/>
      <c r="AO25" s="168"/>
      <c r="AP25" s="169"/>
      <c r="AQ25" s="170"/>
      <c r="AR25" s="170"/>
      <c r="AS25" s="186"/>
      <c r="AT25" s="165"/>
      <c r="AU25" s="166"/>
      <c r="AV25" s="166"/>
      <c r="AW25" s="168"/>
      <c r="AX25" s="172"/>
      <c r="AY25" s="173"/>
      <c r="AZ25" s="173"/>
      <c r="BA25" s="208"/>
      <c r="BB25" s="165"/>
      <c r="BC25" s="166"/>
      <c r="BD25" s="166"/>
      <c r="BE25" s="168"/>
      <c r="BF25" s="165"/>
      <c r="BG25" s="166"/>
      <c r="BH25" s="166"/>
      <c r="BI25" s="168"/>
      <c r="BJ25" s="165"/>
      <c r="BK25" s="166"/>
      <c r="BL25" s="166"/>
      <c r="BM25" s="209"/>
      <c r="BN25" s="165"/>
      <c r="BO25" s="166"/>
      <c r="BP25" s="166"/>
      <c r="BQ25" s="168"/>
      <c r="BR25" s="165"/>
      <c r="BS25" s="166"/>
      <c r="BT25" s="166"/>
      <c r="BU25" s="168"/>
      <c r="BV25" s="175"/>
      <c r="BW25" s="166"/>
      <c r="BX25" s="166"/>
      <c r="BY25" s="168"/>
      <c r="BZ25" s="169"/>
      <c r="CA25" s="170"/>
      <c r="CB25" s="170"/>
      <c r="CC25" s="171"/>
      <c r="CD25" s="365"/>
      <c r="CE25" s="193"/>
      <c r="CF25" s="193"/>
      <c r="CG25" s="210"/>
      <c r="CH25" s="194"/>
      <c r="CI25" s="195"/>
      <c r="CJ25" s="195"/>
      <c r="CK25" s="211"/>
      <c r="CL25" s="169"/>
      <c r="CM25" s="170"/>
      <c r="CN25" s="170"/>
      <c r="CO25" s="186"/>
      <c r="CP25" s="197"/>
      <c r="CQ25" s="212"/>
      <c r="CR25" s="212"/>
      <c r="CS25" s="213"/>
      <c r="CT25" s="194"/>
      <c r="CU25" s="195"/>
      <c r="CV25" s="195"/>
      <c r="CW25" s="196"/>
      <c r="CX25" s="197"/>
      <c r="CY25" s="212"/>
      <c r="CZ25" s="212"/>
      <c r="DA25" s="214"/>
    </row>
    <row r="26" spans="1:105" s="162" customFormat="1" ht="14.25">
      <c r="A26" s="199" t="s">
        <v>52</v>
      </c>
      <c r="B26" s="205"/>
      <c r="C26" s="163"/>
      <c r="D26" s="163"/>
      <c r="E26" s="164"/>
      <c r="F26" s="206"/>
      <c r="G26" s="166"/>
      <c r="H26" s="166"/>
      <c r="I26" s="171"/>
      <c r="J26" s="207"/>
      <c r="K26" s="170"/>
      <c r="L26" s="170"/>
      <c r="M26" s="171"/>
      <c r="N26" s="207"/>
      <c r="O26" s="170"/>
      <c r="P26" s="170"/>
      <c r="Q26" s="171"/>
      <c r="R26" s="207"/>
      <c r="S26" s="170"/>
      <c r="T26" s="170"/>
      <c r="U26" s="171"/>
      <c r="V26" s="207"/>
      <c r="W26" s="170"/>
      <c r="X26" s="170"/>
      <c r="Y26" s="171"/>
      <c r="Z26" s="207"/>
      <c r="AA26" s="170"/>
      <c r="AB26" s="170"/>
      <c r="AC26" s="171"/>
      <c r="AD26" s="206"/>
      <c r="AE26" s="166"/>
      <c r="AF26" s="166"/>
      <c r="AG26" s="167"/>
      <c r="AH26" s="165"/>
      <c r="AI26" s="166"/>
      <c r="AJ26" s="166"/>
      <c r="AK26" s="167"/>
      <c r="AL26" s="165"/>
      <c r="AM26" s="166"/>
      <c r="AN26" s="166"/>
      <c r="AO26" s="168"/>
      <c r="AP26" s="169"/>
      <c r="AQ26" s="170"/>
      <c r="AR26" s="170"/>
      <c r="AS26" s="186"/>
      <c r="AT26" s="165"/>
      <c r="AU26" s="166"/>
      <c r="AV26" s="166"/>
      <c r="AW26" s="168"/>
      <c r="AX26" s="172"/>
      <c r="AY26" s="173"/>
      <c r="AZ26" s="173"/>
      <c r="BA26" s="208"/>
      <c r="BB26" s="165"/>
      <c r="BC26" s="166"/>
      <c r="BD26" s="166"/>
      <c r="BE26" s="168"/>
      <c r="BF26" s="165"/>
      <c r="BG26" s="166"/>
      <c r="BH26" s="166"/>
      <c r="BI26" s="168"/>
      <c r="BJ26" s="165"/>
      <c r="BK26" s="166"/>
      <c r="BL26" s="166"/>
      <c r="BM26" s="209"/>
      <c r="BN26" s="165"/>
      <c r="BO26" s="166"/>
      <c r="BP26" s="166"/>
      <c r="BQ26" s="168"/>
      <c r="BR26" s="165"/>
      <c r="BS26" s="166"/>
      <c r="BT26" s="166"/>
      <c r="BU26" s="168"/>
      <c r="BV26" s="175"/>
      <c r="BW26" s="166"/>
      <c r="BX26" s="166"/>
      <c r="BY26" s="168"/>
      <c r="BZ26" s="169"/>
      <c r="CA26" s="170"/>
      <c r="CB26" s="170"/>
      <c r="CC26" s="171"/>
      <c r="CD26" s="365"/>
      <c r="CE26" s="193"/>
      <c r="CF26" s="193"/>
      <c r="CG26" s="210"/>
      <c r="CH26" s="194"/>
      <c r="CI26" s="195"/>
      <c r="CJ26" s="195"/>
      <c r="CK26" s="211"/>
      <c r="CL26" s="169"/>
      <c r="CM26" s="170"/>
      <c r="CN26" s="170"/>
      <c r="CO26" s="186"/>
      <c r="CP26" s="197"/>
      <c r="CQ26" s="212"/>
      <c r="CR26" s="212"/>
      <c r="CS26" s="213"/>
      <c r="CT26" s="194"/>
      <c r="CU26" s="195"/>
      <c r="CV26" s="195"/>
      <c r="CW26" s="196"/>
      <c r="CX26" s="197"/>
      <c r="CY26" s="212"/>
      <c r="CZ26" s="212"/>
      <c r="DA26" s="214"/>
    </row>
    <row r="27" spans="1:105" s="162" customFormat="1" ht="14.25">
      <c r="A27" s="199" t="s">
        <v>53</v>
      </c>
      <c r="B27" s="205">
        <v>53</v>
      </c>
      <c r="C27" s="163">
        <v>-787</v>
      </c>
      <c r="D27" s="163">
        <v>-5403</v>
      </c>
      <c r="E27" s="164">
        <v>-5759</v>
      </c>
      <c r="F27" s="206">
        <v>-416</v>
      </c>
      <c r="G27" s="166">
        <v>-1833</v>
      </c>
      <c r="H27" s="166">
        <v>-4492</v>
      </c>
      <c r="I27" s="171">
        <v>-6104</v>
      </c>
      <c r="J27" s="207"/>
      <c r="K27" s="170"/>
      <c r="L27" s="170"/>
      <c r="M27" s="171"/>
      <c r="N27" s="207">
        <v>-799</v>
      </c>
      <c r="O27" s="170">
        <v>318</v>
      </c>
      <c r="P27" s="170">
        <v>-3833</v>
      </c>
      <c r="Q27" s="171">
        <v>708</v>
      </c>
      <c r="R27" s="207">
        <v>-21</v>
      </c>
      <c r="S27" s="170">
        <v>-241</v>
      </c>
      <c r="T27" s="170">
        <v>-15656</v>
      </c>
      <c r="U27" s="171">
        <v>-367</v>
      </c>
      <c r="V27" s="207"/>
      <c r="W27" s="170"/>
      <c r="X27" s="170"/>
      <c r="Y27" s="171"/>
      <c r="Z27" s="207">
        <v>-1648</v>
      </c>
      <c r="AA27" s="170">
        <v>-785</v>
      </c>
      <c r="AB27" s="170">
        <v>-1648</v>
      </c>
      <c r="AC27" s="171">
        <v>-785</v>
      </c>
      <c r="AD27" s="206">
        <v>-127</v>
      </c>
      <c r="AE27" s="166">
        <v>32</v>
      </c>
      <c r="AF27" s="166">
        <v>-4796</v>
      </c>
      <c r="AG27" s="167">
        <v>-167</v>
      </c>
      <c r="AH27" s="165"/>
      <c r="AI27" s="166"/>
      <c r="AJ27" s="166"/>
      <c r="AK27" s="167"/>
      <c r="AL27" s="165"/>
      <c r="AM27" s="166"/>
      <c r="AN27" s="166"/>
      <c r="AO27" s="168"/>
      <c r="AP27" s="169">
        <v>-115525</v>
      </c>
      <c r="AQ27" s="170">
        <v>-94385</v>
      </c>
      <c r="AR27" s="170">
        <v>-230510</v>
      </c>
      <c r="AS27" s="186">
        <v>-223266</v>
      </c>
      <c r="AT27" s="165">
        <v>-100610</v>
      </c>
      <c r="AU27" s="166">
        <v>-95719</v>
      </c>
      <c r="AV27" s="166">
        <v>-386145</v>
      </c>
      <c r="AW27" s="168">
        <v>-361445</v>
      </c>
      <c r="AX27" s="172">
        <v>-9</v>
      </c>
      <c r="AY27" s="173">
        <v>-44</v>
      </c>
      <c r="AZ27" s="173">
        <v>-143</v>
      </c>
      <c r="BA27" s="208">
        <v>-1791</v>
      </c>
      <c r="BB27" s="165">
        <v>-1427</v>
      </c>
      <c r="BC27" s="166">
        <v>-2029</v>
      </c>
      <c r="BD27" s="166">
        <v>-7700</v>
      </c>
      <c r="BE27" s="168">
        <v>-8771</v>
      </c>
      <c r="BF27" s="165"/>
      <c r="BG27" s="166"/>
      <c r="BH27" s="166"/>
      <c r="BI27" s="168"/>
      <c r="BJ27" s="165">
        <v>-11367</v>
      </c>
      <c r="BK27" s="166">
        <v>-9449</v>
      </c>
      <c r="BL27" s="166">
        <v>-36317</v>
      </c>
      <c r="BM27" s="209">
        <v>-39210</v>
      </c>
      <c r="BN27" s="165">
        <v>-8632</v>
      </c>
      <c r="BO27" s="166">
        <v>-10299</v>
      </c>
      <c r="BP27" s="166">
        <v>-21378</v>
      </c>
      <c r="BQ27" s="168">
        <v>-32710</v>
      </c>
      <c r="BR27" s="165">
        <v>-154</v>
      </c>
      <c r="BS27" s="166">
        <v>-99</v>
      </c>
      <c r="BT27" s="166">
        <v>-672</v>
      </c>
      <c r="BU27" s="168">
        <v>-845</v>
      </c>
      <c r="BV27" s="175"/>
      <c r="BW27" s="166"/>
      <c r="BX27" s="166"/>
      <c r="BY27" s="168"/>
      <c r="BZ27" s="374">
        <v>-462</v>
      </c>
      <c r="CA27" s="367">
        <v>-245</v>
      </c>
      <c r="CB27" s="367">
        <v>-1209</v>
      </c>
      <c r="CC27" s="375">
        <v>-526</v>
      </c>
      <c r="CD27" s="365"/>
      <c r="CE27" s="193"/>
      <c r="CF27" s="193"/>
      <c r="CG27" s="210"/>
      <c r="CH27" s="194">
        <v>-3621</v>
      </c>
      <c r="CI27" s="195">
        <v>-96</v>
      </c>
      <c r="CJ27" s="195">
        <v>-15508</v>
      </c>
      <c r="CK27" s="211">
        <v>394</v>
      </c>
      <c r="CL27" s="169"/>
      <c r="CM27" s="170"/>
      <c r="CN27" s="170"/>
      <c r="CO27" s="186"/>
      <c r="CP27" s="197">
        <f aca="true" t="shared" si="5" ref="CP27:CS28">SUM(B27+F27+J27+N27+R27+V27+Z27+AD27+AH27+AL27+AP27+AT27+AX27+BB27+BF27+BJ27+BN27+BR27+BV27+BZ27+CD27+CH27+CL27)</f>
        <v>-244765</v>
      </c>
      <c r="CQ27" s="212">
        <f t="shared" si="5"/>
        <v>-215661</v>
      </c>
      <c r="CR27" s="212">
        <f t="shared" si="5"/>
        <v>-735410</v>
      </c>
      <c r="CS27" s="213">
        <f t="shared" si="5"/>
        <v>-680644</v>
      </c>
      <c r="CT27" s="194">
        <v>-73400</v>
      </c>
      <c r="CU27" s="195">
        <v>-34803</v>
      </c>
      <c r="CV27" s="195">
        <v>-151427</v>
      </c>
      <c r="CW27" s="196">
        <v>-135194</v>
      </c>
      <c r="CX27" s="197">
        <f aca="true" t="shared" si="6" ref="CX27:DA28">CP27+CT27</f>
        <v>-318165</v>
      </c>
      <c r="CY27" s="212">
        <f t="shared" si="6"/>
        <v>-250464</v>
      </c>
      <c r="CZ27" s="212">
        <f t="shared" si="6"/>
        <v>-886837</v>
      </c>
      <c r="DA27" s="214">
        <f t="shared" si="6"/>
        <v>-815838</v>
      </c>
    </row>
    <row r="28" spans="1:105" s="162" customFormat="1" ht="14.25">
      <c r="A28" s="199" t="s">
        <v>54</v>
      </c>
      <c r="B28" s="205"/>
      <c r="C28" s="163"/>
      <c r="D28" s="163"/>
      <c r="E28" s="164"/>
      <c r="F28" s="206">
        <v>-962</v>
      </c>
      <c r="G28" s="166">
        <v>-8551</v>
      </c>
      <c r="H28" s="166">
        <v>-23314</v>
      </c>
      <c r="I28" s="171">
        <v>-12829</v>
      </c>
      <c r="J28" s="207"/>
      <c r="K28" s="170"/>
      <c r="L28" s="170"/>
      <c r="M28" s="171"/>
      <c r="N28" s="207">
        <v>120</v>
      </c>
      <c r="O28" s="170">
        <v>-489</v>
      </c>
      <c r="P28" s="170"/>
      <c r="Q28" s="171">
        <v>-911</v>
      </c>
      <c r="R28" s="207">
        <v>3925</v>
      </c>
      <c r="S28" s="170">
        <v>-750</v>
      </c>
      <c r="T28" s="170">
        <v>-850</v>
      </c>
      <c r="U28" s="171">
        <v>-10470</v>
      </c>
      <c r="V28" s="207"/>
      <c r="W28" s="170"/>
      <c r="X28" s="170"/>
      <c r="Y28" s="171"/>
      <c r="Z28" s="207"/>
      <c r="AA28" s="170"/>
      <c r="AB28" s="170"/>
      <c r="AC28" s="171"/>
      <c r="AD28" s="206"/>
      <c r="AE28" s="166"/>
      <c r="AF28" s="166"/>
      <c r="AG28" s="167"/>
      <c r="AH28" s="165"/>
      <c r="AI28" s="166"/>
      <c r="AJ28" s="166"/>
      <c r="AK28" s="167"/>
      <c r="AL28" s="165"/>
      <c r="AM28" s="166"/>
      <c r="AN28" s="166"/>
      <c r="AO28" s="168"/>
      <c r="AP28" s="169"/>
      <c r="AQ28" s="170"/>
      <c r="AR28" s="170"/>
      <c r="AS28" s="186"/>
      <c r="AT28" s="165"/>
      <c r="AU28" s="166"/>
      <c r="AV28" s="166"/>
      <c r="AW28" s="168"/>
      <c r="AX28" s="172"/>
      <c r="AY28" s="173"/>
      <c r="AZ28" s="173"/>
      <c r="BA28" s="208">
        <v>-73</v>
      </c>
      <c r="BB28" s="165"/>
      <c r="BC28" s="166"/>
      <c r="BD28" s="166"/>
      <c r="BE28" s="168"/>
      <c r="BF28" s="165">
        <v>-100</v>
      </c>
      <c r="BG28" s="166">
        <v>-200</v>
      </c>
      <c r="BH28" s="166"/>
      <c r="BI28" s="168">
        <v>-250</v>
      </c>
      <c r="BJ28" s="165"/>
      <c r="BK28" s="166"/>
      <c r="BL28" s="166"/>
      <c r="BM28" s="168"/>
      <c r="BN28" s="165"/>
      <c r="BO28" s="166"/>
      <c r="BP28" s="166"/>
      <c r="BQ28" s="168"/>
      <c r="BR28" s="165"/>
      <c r="BS28" s="166"/>
      <c r="BT28" s="166"/>
      <c r="BU28" s="168"/>
      <c r="BV28" s="175"/>
      <c r="BW28" s="166"/>
      <c r="BX28" s="166"/>
      <c r="BY28" s="168"/>
      <c r="BZ28" s="374"/>
      <c r="CA28" s="367"/>
      <c r="CB28" s="367"/>
      <c r="CC28" s="375"/>
      <c r="CD28" s="365"/>
      <c r="CE28" s="193"/>
      <c r="CF28" s="193"/>
      <c r="CG28" s="210"/>
      <c r="CH28" s="194"/>
      <c r="CI28" s="195"/>
      <c r="CJ28" s="195"/>
      <c r="CK28" s="211"/>
      <c r="CL28" s="169"/>
      <c r="CM28" s="170"/>
      <c r="CN28" s="170"/>
      <c r="CO28" s="186"/>
      <c r="CP28" s="197">
        <f t="shared" si="5"/>
        <v>2983</v>
      </c>
      <c r="CQ28" s="212">
        <f t="shared" si="5"/>
        <v>-9990</v>
      </c>
      <c r="CR28" s="212">
        <f t="shared" si="5"/>
        <v>-24164</v>
      </c>
      <c r="CS28" s="213">
        <f t="shared" si="5"/>
        <v>-24533</v>
      </c>
      <c r="CT28" s="194"/>
      <c r="CU28" s="195"/>
      <c r="CV28" s="195"/>
      <c r="CW28" s="196"/>
      <c r="CX28" s="197">
        <f t="shared" si="6"/>
        <v>2983</v>
      </c>
      <c r="CY28" s="212">
        <f t="shared" si="6"/>
        <v>-9990</v>
      </c>
      <c r="CZ28" s="212">
        <f t="shared" si="6"/>
        <v>-24164</v>
      </c>
      <c r="DA28" s="214">
        <f t="shared" si="6"/>
        <v>-24533</v>
      </c>
    </row>
    <row r="29" spans="1:105" s="162" customFormat="1" ht="14.25">
      <c r="A29" s="199" t="s">
        <v>55</v>
      </c>
      <c r="B29" s="217"/>
      <c r="C29" s="218"/>
      <c r="D29" s="218"/>
      <c r="E29" s="219"/>
      <c r="F29" s="220"/>
      <c r="G29" s="183"/>
      <c r="H29" s="183"/>
      <c r="I29" s="202"/>
      <c r="J29" s="212"/>
      <c r="K29" s="201"/>
      <c r="L29" s="201"/>
      <c r="M29" s="202"/>
      <c r="N29" s="212"/>
      <c r="O29" s="201"/>
      <c r="P29" s="201"/>
      <c r="Q29" s="202"/>
      <c r="R29" s="212"/>
      <c r="S29" s="201"/>
      <c r="T29" s="201"/>
      <c r="U29" s="202"/>
      <c r="V29" s="212"/>
      <c r="W29" s="201"/>
      <c r="X29" s="201"/>
      <c r="Y29" s="202"/>
      <c r="Z29" s="212"/>
      <c r="AA29" s="201"/>
      <c r="AB29" s="201"/>
      <c r="AC29" s="202"/>
      <c r="AD29" s="220"/>
      <c r="AE29" s="183"/>
      <c r="AF29" s="183"/>
      <c r="AG29" s="221"/>
      <c r="AH29" s="179"/>
      <c r="AI29" s="183"/>
      <c r="AJ29" s="183"/>
      <c r="AK29" s="221"/>
      <c r="AL29" s="179"/>
      <c r="AM29" s="183"/>
      <c r="AN29" s="183"/>
      <c r="AO29" s="180"/>
      <c r="AP29" s="197"/>
      <c r="AQ29" s="201"/>
      <c r="AR29" s="201"/>
      <c r="AS29" s="203"/>
      <c r="AT29" s="179"/>
      <c r="AU29" s="183"/>
      <c r="AV29" s="183"/>
      <c r="AW29" s="180"/>
      <c r="AX29" s="172"/>
      <c r="AY29" s="173"/>
      <c r="AZ29" s="173"/>
      <c r="BA29" s="208"/>
      <c r="BB29" s="179"/>
      <c r="BC29" s="183"/>
      <c r="BD29" s="183"/>
      <c r="BE29" s="180"/>
      <c r="BF29" s="222"/>
      <c r="BG29" s="223"/>
      <c r="BH29" s="223"/>
      <c r="BI29" s="224"/>
      <c r="BJ29" s="179"/>
      <c r="BK29" s="183"/>
      <c r="BL29" s="183"/>
      <c r="BM29" s="180"/>
      <c r="BN29" s="179"/>
      <c r="BO29" s="183"/>
      <c r="BP29" s="183"/>
      <c r="BQ29" s="180"/>
      <c r="BR29" s="179"/>
      <c r="BS29" s="183"/>
      <c r="BT29" s="183"/>
      <c r="BU29" s="180"/>
      <c r="BV29" s="175"/>
      <c r="BW29" s="166"/>
      <c r="BX29" s="166"/>
      <c r="BY29" s="168"/>
      <c r="BZ29" s="169"/>
      <c r="CA29" s="170"/>
      <c r="CB29" s="170"/>
      <c r="CC29" s="171"/>
      <c r="CD29" s="365"/>
      <c r="CE29" s="193"/>
      <c r="CF29" s="193"/>
      <c r="CG29" s="210"/>
      <c r="CH29" s="194"/>
      <c r="CI29" s="195"/>
      <c r="CJ29" s="195"/>
      <c r="CK29" s="211"/>
      <c r="CL29" s="197"/>
      <c r="CM29" s="201"/>
      <c r="CN29" s="201"/>
      <c r="CO29" s="203"/>
      <c r="CP29" s="197"/>
      <c r="CQ29" s="212"/>
      <c r="CR29" s="212"/>
      <c r="CS29" s="213"/>
      <c r="CT29" s="197"/>
      <c r="CU29" s="201"/>
      <c r="CV29" s="201"/>
      <c r="CW29" s="202"/>
      <c r="CX29" s="197"/>
      <c r="CY29" s="212"/>
      <c r="CZ29" s="212"/>
      <c r="DA29" s="214"/>
    </row>
    <row r="30" spans="1:105" s="162" customFormat="1" ht="14.25">
      <c r="A30" s="199" t="s">
        <v>34</v>
      </c>
      <c r="B30" s="205"/>
      <c r="C30" s="163"/>
      <c r="D30" s="163"/>
      <c r="E30" s="164"/>
      <c r="F30" s="206"/>
      <c r="G30" s="166"/>
      <c r="H30" s="166"/>
      <c r="I30" s="171"/>
      <c r="J30" s="207"/>
      <c r="K30" s="170"/>
      <c r="L30" s="170"/>
      <c r="M30" s="171"/>
      <c r="N30" s="207"/>
      <c r="O30" s="170"/>
      <c r="P30" s="170"/>
      <c r="Q30" s="171"/>
      <c r="R30" s="207"/>
      <c r="S30" s="170"/>
      <c r="T30" s="170"/>
      <c r="U30" s="171"/>
      <c r="V30" s="207"/>
      <c r="W30" s="170"/>
      <c r="X30" s="170"/>
      <c r="Y30" s="171"/>
      <c r="Z30" s="207"/>
      <c r="AA30" s="170"/>
      <c r="AB30" s="170"/>
      <c r="AC30" s="171"/>
      <c r="AD30" s="206"/>
      <c r="AE30" s="166"/>
      <c r="AF30" s="166"/>
      <c r="AG30" s="167"/>
      <c r="AH30" s="165"/>
      <c r="AI30" s="166"/>
      <c r="AJ30" s="166"/>
      <c r="AK30" s="167"/>
      <c r="AL30" s="165"/>
      <c r="AM30" s="166"/>
      <c r="AN30" s="166"/>
      <c r="AO30" s="168"/>
      <c r="AP30" s="169"/>
      <c r="AQ30" s="170"/>
      <c r="AR30" s="170"/>
      <c r="AS30" s="186"/>
      <c r="AT30" s="165"/>
      <c r="AU30" s="166"/>
      <c r="AV30" s="166"/>
      <c r="AW30" s="168"/>
      <c r="AX30" s="172"/>
      <c r="AY30" s="173"/>
      <c r="AZ30" s="173"/>
      <c r="BA30" s="208"/>
      <c r="BB30" s="165"/>
      <c r="BC30" s="166"/>
      <c r="BD30" s="166"/>
      <c r="BE30" s="168"/>
      <c r="BF30" s="165"/>
      <c r="BG30" s="166"/>
      <c r="BH30" s="166"/>
      <c r="BI30" s="168"/>
      <c r="BJ30" s="165"/>
      <c r="BK30" s="166"/>
      <c r="BL30" s="166"/>
      <c r="BM30" s="168"/>
      <c r="BN30" s="165"/>
      <c r="BO30" s="166"/>
      <c r="BP30" s="166"/>
      <c r="BQ30" s="168"/>
      <c r="BR30" s="165"/>
      <c r="BS30" s="166"/>
      <c r="BT30" s="166"/>
      <c r="BU30" s="168"/>
      <c r="BV30" s="175"/>
      <c r="BW30" s="166"/>
      <c r="BX30" s="166"/>
      <c r="BY30" s="168"/>
      <c r="BZ30" s="169"/>
      <c r="CA30" s="170"/>
      <c r="CB30" s="170"/>
      <c r="CC30" s="171"/>
      <c r="CD30" s="365"/>
      <c r="CE30" s="193"/>
      <c r="CF30" s="193"/>
      <c r="CG30" s="210"/>
      <c r="CH30" s="194"/>
      <c r="CI30" s="195"/>
      <c r="CJ30" s="195"/>
      <c r="CK30" s="211"/>
      <c r="CL30" s="169"/>
      <c r="CM30" s="170"/>
      <c r="CN30" s="170"/>
      <c r="CO30" s="186"/>
      <c r="CP30" s="197">
        <f>SUM(B30+F30+J30+N30+R30+V30+Z30+AD30+AH30+AL30+AP30+AT30+AX30+BB30+BF30+BJ30+BN30+BR30+BV30+BZ30+CD30+CH30+CL30)</f>
        <v>0</v>
      </c>
      <c r="CQ30" s="212">
        <f>SUM(C30+G30+K30+O30+S30+W30+AA30+AE30+AI30+AM30+AQ30+AU30+AY30+BC30+BG30+BK30+BO30+BS30+BW30+CA30+CE30+CI30+CM30)</f>
        <v>0</v>
      </c>
      <c r="CR30" s="212">
        <f>SUM(D30+H30+L30+P30+T30+X30+AB30+AF30+AJ30+AN30+AR30+AV30+AZ30+BD30+BH30+BL30+BP30+BT30+BX30+CB30+CF30+CJ30+CN30)</f>
        <v>0</v>
      </c>
      <c r="CS30" s="213">
        <f>SUM(E30+I30+M30+Q30+U30+Y30+AC30+AG30+AK30+AO30+AS30+AW30+BA30+BE30+BI30+BM30+BQ30+BU30+BY30+CC30+CG30+CK30+CO30)</f>
        <v>0</v>
      </c>
      <c r="CT30" s="194"/>
      <c r="CU30" s="195"/>
      <c r="CV30" s="195"/>
      <c r="CW30" s="196"/>
      <c r="CX30" s="197">
        <f>CP30+CT30</f>
        <v>0</v>
      </c>
      <c r="CY30" s="212">
        <f>CQ30+CU30</f>
        <v>0</v>
      </c>
      <c r="CZ30" s="212">
        <f>CR30+CV30</f>
        <v>0</v>
      </c>
      <c r="DA30" s="214">
        <f>CS30+CW30</f>
        <v>0</v>
      </c>
    </row>
    <row r="31" spans="1:105" s="162" customFormat="1" ht="14.25">
      <c r="A31" s="199" t="s">
        <v>35</v>
      </c>
      <c r="B31" s="205"/>
      <c r="C31" s="163"/>
      <c r="D31" s="163"/>
      <c r="E31" s="164"/>
      <c r="F31" s="206"/>
      <c r="G31" s="166"/>
      <c r="H31" s="166"/>
      <c r="I31" s="171"/>
      <c r="J31" s="207"/>
      <c r="K31" s="170"/>
      <c r="L31" s="170"/>
      <c r="M31" s="171"/>
      <c r="N31" s="207"/>
      <c r="O31" s="170"/>
      <c r="P31" s="170"/>
      <c r="Q31" s="171"/>
      <c r="R31" s="207"/>
      <c r="S31" s="170"/>
      <c r="T31" s="170"/>
      <c r="U31" s="171"/>
      <c r="V31" s="207"/>
      <c r="W31" s="170"/>
      <c r="X31" s="170"/>
      <c r="Y31" s="171"/>
      <c r="Z31" s="207"/>
      <c r="AA31" s="170"/>
      <c r="AB31" s="170"/>
      <c r="AC31" s="171"/>
      <c r="AD31" s="206"/>
      <c r="AE31" s="166"/>
      <c r="AF31" s="166"/>
      <c r="AG31" s="167"/>
      <c r="AH31" s="165"/>
      <c r="AI31" s="166"/>
      <c r="AJ31" s="166"/>
      <c r="AK31" s="167"/>
      <c r="AL31" s="165"/>
      <c r="AM31" s="166"/>
      <c r="AN31" s="166"/>
      <c r="AO31" s="168"/>
      <c r="AP31" s="169"/>
      <c r="AQ31" s="170"/>
      <c r="AR31" s="170"/>
      <c r="AS31" s="186"/>
      <c r="AT31" s="165"/>
      <c r="AU31" s="166"/>
      <c r="AV31" s="166"/>
      <c r="AW31" s="168"/>
      <c r="AX31" s="172"/>
      <c r="AY31" s="173"/>
      <c r="AZ31" s="173"/>
      <c r="BA31" s="208"/>
      <c r="BB31" s="165"/>
      <c r="BC31" s="166"/>
      <c r="BD31" s="166"/>
      <c r="BE31" s="168"/>
      <c r="BF31" s="165"/>
      <c r="BG31" s="166"/>
      <c r="BH31" s="166"/>
      <c r="BI31" s="168"/>
      <c r="BJ31" s="165"/>
      <c r="BK31" s="166"/>
      <c r="BL31" s="166"/>
      <c r="BM31" s="168"/>
      <c r="BN31" s="165"/>
      <c r="BO31" s="166"/>
      <c r="BP31" s="166"/>
      <c r="BQ31" s="168"/>
      <c r="BR31" s="165"/>
      <c r="BS31" s="166"/>
      <c r="BT31" s="166"/>
      <c r="BU31" s="168"/>
      <c r="BV31" s="175"/>
      <c r="BW31" s="166"/>
      <c r="BX31" s="166"/>
      <c r="BY31" s="168"/>
      <c r="BZ31" s="169"/>
      <c r="CA31" s="170"/>
      <c r="CB31" s="170"/>
      <c r="CC31" s="171"/>
      <c r="CD31" s="365"/>
      <c r="CE31" s="193"/>
      <c r="CF31" s="193"/>
      <c r="CG31" s="210"/>
      <c r="CH31" s="194"/>
      <c r="CI31" s="195"/>
      <c r="CJ31" s="195"/>
      <c r="CK31" s="211"/>
      <c r="CL31" s="169"/>
      <c r="CM31" s="170"/>
      <c r="CN31" s="170"/>
      <c r="CO31" s="186"/>
      <c r="CP31" s="197"/>
      <c r="CQ31" s="212"/>
      <c r="CR31" s="212"/>
      <c r="CS31" s="213"/>
      <c r="CT31" s="194"/>
      <c r="CU31" s="195"/>
      <c r="CV31" s="195"/>
      <c r="CW31" s="196"/>
      <c r="CX31" s="197"/>
      <c r="CY31" s="212"/>
      <c r="CZ31" s="212"/>
      <c r="DA31" s="214"/>
    </row>
    <row r="32" spans="1:105" s="162" customFormat="1" ht="14.25">
      <c r="A32" s="199" t="s">
        <v>52</v>
      </c>
      <c r="B32" s="205"/>
      <c r="C32" s="163"/>
      <c r="D32" s="163"/>
      <c r="E32" s="164"/>
      <c r="F32" s="206"/>
      <c r="G32" s="166"/>
      <c r="H32" s="166"/>
      <c r="I32" s="171"/>
      <c r="J32" s="207"/>
      <c r="K32" s="170"/>
      <c r="L32" s="170"/>
      <c r="M32" s="171"/>
      <c r="N32" s="207"/>
      <c r="O32" s="170"/>
      <c r="P32" s="170"/>
      <c r="Q32" s="171"/>
      <c r="R32" s="207"/>
      <c r="S32" s="170"/>
      <c r="T32" s="170"/>
      <c r="U32" s="171"/>
      <c r="V32" s="207"/>
      <c r="W32" s="170"/>
      <c r="X32" s="170"/>
      <c r="Y32" s="171"/>
      <c r="Z32" s="207"/>
      <c r="AA32" s="170"/>
      <c r="AB32" s="170"/>
      <c r="AC32" s="171"/>
      <c r="AD32" s="206"/>
      <c r="AE32" s="166"/>
      <c r="AF32" s="166"/>
      <c r="AG32" s="167"/>
      <c r="AH32" s="165"/>
      <c r="AI32" s="166"/>
      <c r="AJ32" s="166"/>
      <c r="AK32" s="167"/>
      <c r="AL32" s="165"/>
      <c r="AM32" s="166"/>
      <c r="AN32" s="166"/>
      <c r="AO32" s="168"/>
      <c r="AP32" s="169"/>
      <c r="AQ32" s="170"/>
      <c r="AR32" s="170"/>
      <c r="AS32" s="186"/>
      <c r="AT32" s="165"/>
      <c r="AU32" s="166"/>
      <c r="AV32" s="166"/>
      <c r="AW32" s="168"/>
      <c r="AX32" s="172"/>
      <c r="AY32" s="173"/>
      <c r="AZ32" s="173"/>
      <c r="BA32" s="208"/>
      <c r="BB32" s="165"/>
      <c r="BC32" s="166"/>
      <c r="BD32" s="166"/>
      <c r="BE32" s="168"/>
      <c r="BF32" s="165"/>
      <c r="BG32" s="166"/>
      <c r="BH32" s="166"/>
      <c r="BI32" s="168"/>
      <c r="BJ32" s="165"/>
      <c r="BK32" s="166"/>
      <c r="BL32" s="166"/>
      <c r="BM32" s="168"/>
      <c r="BN32" s="165"/>
      <c r="BO32" s="166"/>
      <c r="BP32" s="166"/>
      <c r="BQ32" s="168"/>
      <c r="BR32" s="165"/>
      <c r="BS32" s="166"/>
      <c r="BT32" s="166"/>
      <c r="BU32" s="168"/>
      <c r="BV32" s="175"/>
      <c r="BW32" s="166"/>
      <c r="BX32" s="166"/>
      <c r="BY32" s="168"/>
      <c r="BZ32" s="169"/>
      <c r="CA32" s="170"/>
      <c r="CB32" s="170"/>
      <c r="CC32" s="171"/>
      <c r="CD32" s="365"/>
      <c r="CE32" s="193"/>
      <c r="CF32" s="193"/>
      <c r="CG32" s="210"/>
      <c r="CH32" s="194"/>
      <c r="CI32" s="195"/>
      <c r="CJ32" s="195"/>
      <c r="CK32" s="211"/>
      <c r="CL32" s="169"/>
      <c r="CM32" s="170"/>
      <c r="CN32" s="170"/>
      <c r="CO32" s="186"/>
      <c r="CP32" s="197"/>
      <c r="CQ32" s="212"/>
      <c r="CR32" s="212"/>
      <c r="CS32" s="213"/>
      <c r="CT32" s="194"/>
      <c r="CU32" s="195"/>
      <c r="CV32" s="195"/>
      <c r="CW32" s="196"/>
      <c r="CX32" s="197"/>
      <c r="CY32" s="212"/>
      <c r="CZ32" s="212"/>
      <c r="DA32" s="214"/>
    </row>
    <row r="33" spans="1:105" s="162" customFormat="1" ht="15" thickBot="1">
      <c r="A33" s="265" t="s">
        <v>56</v>
      </c>
      <c r="B33" s="225"/>
      <c r="C33" s="226"/>
      <c r="D33" s="226"/>
      <c r="E33" s="227"/>
      <c r="F33" s="228"/>
      <c r="G33" s="229"/>
      <c r="H33" s="229"/>
      <c r="I33" s="230"/>
      <c r="J33" s="231"/>
      <c r="K33" s="232"/>
      <c r="L33" s="232"/>
      <c r="M33" s="230"/>
      <c r="N33" s="231"/>
      <c r="O33" s="232"/>
      <c r="P33" s="232"/>
      <c r="Q33" s="230"/>
      <c r="R33" s="231"/>
      <c r="S33" s="232"/>
      <c r="T33" s="232"/>
      <c r="U33" s="230"/>
      <c r="V33" s="231"/>
      <c r="W33" s="232"/>
      <c r="X33" s="232"/>
      <c r="Y33" s="230"/>
      <c r="Z33" s="231"/>
      <c r="AA33" s="232"/>
      <c r="AB33" s="232"/>
      <c r="AC33" s="230"/>
      <c r="AD33" s="228"/>
      <c r="AE33" s="229"/>
      <c r="AF33" s="229"/>
      <c r="AG33" s="233"/>
      <c r="AH33" s="234"/>
      <c r="AI33" s="229"/>
      <c r="AJ33" s="229"/>
      <c r="AK33" s="233"/>
      <c r="AL33" s="234"/>
      <c r="AM33" s="229"/>
      <c r="AN33" s="229"/>
      <c r="AO33" s="235"/>
      <c r="AP33" s="236"/>
      <c r="AQ33" s="232"/>
      <c r="AR33" s="232"/>
      <c r="AS33" s="237"/>
      <c r="AT33" s="234"/>
      <c r="AU33" s="229"/>
      <c r="AV33" s="229"/>
      <c r="AW33" s="235"/>
      <c r="AX33" s="238"/>
      <c r="AY33" s="239"/>
      <c r="AZ33" s="239"/>
      <c r="BA33" s="240"/>
      <c r="BB33" s="234"/>
      <c r="BC33" s="229"/>
      <c r="BD33" s="229"/>
      <c r="BE33" s="235"/>
      <c r="BF33" s="234"/>
      <c r="BG33" s="229"/>
      <c r="BH33" s="229"/>
      <c r="BI33" s="235"/>
      <c r="BJ33" s="234"/>
      <c r="BK33" s="229"/>
      <c r="BL33" s="229"/>
      <c r="BM33" s="235"/>
      <c r="BN33" s="234"/>
      <c r="BO33" s="229"/>
      <c r="BP33" s="229"/>
      <c r="BQ33" s="235"/>
      <c r="BR33" s="234"/>
      <c r="BS33" s="229"/>
      <c r="BT33" s="229"/>
      <c r="BU33" s="235"/>
      <c r="BV33" s="241"/>
      <c r="BW33" s="229"/>
      <c r="BX33" s="229"/>
      <c r="BY33" s="235"/>
      <c r="BZ33" s="376"/>
      <c r="CA33" s="377"/>
      <c r="CB33" s="377"/>
      <c r="CC33" s="378"/>
      <c r="CD33" s="366"/>
      <c r="CE33" s="242"/>
      <c r="CF33" s="242"/>
      <c r="CG33" s="243"/>
      <c r="CH33" s="244"/>
      <c r="CI33" s="245"/>
      <c r="CJ33" s="245"/>
      <c r="CK33" s="246"/>
      <c r="CL33" s="236"/>
      <c r="CM33" s="232"/>
      <c r="CN33" s="232"/>
      <c r="CO33" s="237"/>
      <c r="CP33" s="247"/>
      <c r="CQ33" s="248"/>
      <c r="CR33" s="248"/>
      <c r="CS33" s="249"/>
      <c r="CT33" s="244"/>
      <c r="CU33" s="245"/>
      <c r="CV33" s="245"/>
      <c r="CW33" s="811"/>
      <c r="CX33" s="247"/>
      <c r="CY33" s="248"/>
      <c r="CZ33" s="248"/>
      <c r="DA33" s="250"/>
    </row>
    <row r="34" spans="1:105" s="1116" customFormat="1" ht="15" thickBot="1">
      <c r="A34" s="1222" t="s">
        <v>57</v>
      </c>
      <c r="B34" s="1228">
        <f>SUM(B6:B33)</f>
        <v>15193003</v>
      </c>
      <c r="C34" s="1229">
        <f aca="true" t="shared" si="7" ref="C34:BJ34">SUM(C6:C33)</f>
        <v>13667082</v>
      </c>
      <c r="D34" s="1229">
        <f t="shared" si="7"/>
        <v>52485104</v>
      </c>
      <c r="E34" s="1230">
        <f t="shared" si="7"/>
        <v>50553103</v>
      </c>
      <c r="F34" s="1206">
        <f t="shared" si="7"/>
        <v>997587</v>
      </c>
      <c r="G34" s="1213">
        <f t="shared" si="7"/>
        <v>1091173</v>
      </c>
      <c r="H34" s="1213">
        <f t="shared" si="7"/>
        <v>2969473</v>
      </c>
      <c r="I34" s="1214">
        <f t="shared" si="7"/>
        <v>3452646</v>
      </c>
      <c r="J34" s="1082">
        <f t="shared" si="7"/>
        <v>3592641</v>
      </c>
      <c r="K34" s="1113">
        <f t="shared" si="7"/>
        <v>4824899</v>
      </c>
      <c r="L34" s="1113">
        <f t="shared" si="7"/>
        <v>11817416</v>
      </c>
      <c r="M34" s="1207">
        <f t="shared" si="7"/>
        <v>16113893</v>
      </c>
      <c r="N34" s="1082">
        <f t="shared" si="7"/>
        <v>15281450</v>
      </c>
      <c r="O34" s="1079">
        <f t="shared" si="7"/>
        <v>23956984</v>
      </c>
      <c r="P34" s="1079">
        <f t="shared" si="7"/>
        <v>53321477</v>
      </c>
      <c r="Q34" s="1080">
        <f t="shared" si="7"/>
        <v>80535460</v>
      </c>
      <c r="R34" s="1079">
        <f t="shared" si="7"/>
        <v>1145794</v>
      </c>
      <c r="S34" s="1113">
        <f t="shared" si="7"/>
        <v>1757600</v>
      </c>
      <c r="T34" s="1113">
        <f t="shared" si="7"/>
        <v>4337263</v>
      </c>
      <c r="U34" s="1207">
        <f t="shared" si="7"/>
        <v>5697948</v>
      </c>
      <c r="V34" s="1082">
        <f t="shared" si="7"/>
        <v>4442949</v>
      </c>
      <c r="W34" s="1079">
        <f t="shared" si="7"/>
        <v>4253668</v>
      </c>
      <c r="X34" s="1079">
        <f t="shared" si="7"/>
        <v>16070256</v>
      </c>
      <c r="Y34" s="1081">
        <f t="shared" si="7"/>
        <v>17857419</v>
      </c>
      <c r="Z34" s="1082">
        <f t="shared" si="7"/>
        <v>924485</v>
      </c>
      <c r="AA34" s="1079">
        <f t="shared" si="7"/>
        <v>848831</v>
      </c>
      <c r="AB34" s="1079">
        <f t="shared" si="7"/>
        <v>3219154</v>
      </c>
      <c r="AC34" s="1081">
        <f t="shared" si="7"/>
        <v>2553674</v>
      </c>
      <c r="AD34" s="1082">
        <f t="shared" si="7"/>
        <v>203421</v>
      </c>
      <c r="AE34" s="1079">
        <f t="shared" si="7"/>
        <v>223329</v>
      </c>
      <c r="AF34" s="1079">
        <f t="shared" si="7"/>
        <v>668525</v>
      </c>
      <c r="AG34" s="1081">
        <f t="shared" si="7"/>
        <v>746504</v>
      </c>
      <c r="AH34" s="1079">
        <f t="shared" si="7"/>
        <v>3498142</v>
      </c>
      <c r="AI34" s="1079">
        <f t="shared" si="7"/>
        <v>11992890</v>
      </c>
      <c r="AJ34" s="1079">
        <f t="shared" si="7"/>
        <v>3833775</v>
      </c>
      <c r="AK34" s="1081">
        <f t="shared" si="7"/>
        <v>12318295</v>
      </c>
      <c r="AL34" s="1079">
        <f t="shared" si="7"/>
        <v>1285494</v>
      </c>
      <c r="AM34" s="1079">
        <f t="shared" si="7"/>
        <v>1184623</v>
      </c>
      <c r="AN34" s="1079">
        <f t="shared" si="7"/>
        <v>3653105</v>
      </c>
      <c r="AO34" s="1080">
        <f t="shared" si="7"/>
        <v>4043642</v>
      </c>
      <c r="AP34" s="1079">
        <f t="shared" si="7"/>
        <v>44216856</v>
      </c>
      <c r="AQ34" s="1079">
        <f t="shared" si="7"/>
        <v>43325769</v>
      </c>
      <c r="AR34" s="1079">
        <f t="shared" si="7"/>
        <v>134146391</v>
      </c>
      <c r="AS34" s="1080">
        <f t="shared" si="7"/>
        <v>128948777</v>
      </c>
      <c r="AT34" s="1079">
        <f t="shared" si="7"/>
        <v>44737284</v>
      </c>
      <c r="AU34" s="1079">
        <f t="shared" si="7"/>
        <v>45374746</v>
      </c>
      <c r="AV34" s="1079">
        <f t="shared" si="7"/>
        <v>141885086</v>
      </c>
      <c r="AW34" s="1080">
        <f t="shared" si="7"/>
        <v>172258617</v>
      </c>
      <c r="AX34" s="1079">
        <f t="shared" si="7"/>
        <v>2164315</v>
      </c>
      <c r="AY34" s="1079">
        <f t="shared" si="7"/>
        <v>1471827</v>
      </c>
      <c r="AZ34" s="1079">
        <f t="shared" si="7"/>
        <v>5788980</v>
      </c>
      <c r="BA34" s="1080">
        <f t="shared" si="7"/>
        <v>4985287</v>
      </c>
      <c r="BB34" s="1079">
        <f t="shared" si="7"/>
        <v>5646143</v>
      </c>
      <c r="BC34" s="1079">
        <f t="shared" si="7"/>
        <v>4797004</v>
      </c>
      <c r="BD34" s="1079">
        <f t="shared" si="7"/>
        <v>13584153</v>
      </c>
      <c r="BE34" s="1080">
        <f t="shared" si="7"/>
        <v>10989752</v>
      </c>
      <c r="BF34" s="1079">
        <f t="shared" si="7"/>
        <v>8277631</v>
      </c>
      <c r="BG34" s="1079">
        <f t="shared" si="7"/>
        <v>9444244</v>
      </c>
      <c r="BH34" s="1079">
        <f t="shared" si="7"/>
        <v>29356973</v>
      </c>
      <c r="BI34" s="1080">
        <f t="shared" si="7"/>
        <v>27709336</v>
      </c>
      <c r="BJ34" s="1079">
        <f t="shared" si="7"/>
        <v>18568312</v>
      </c>
      <c r="BK34" s="1113">
        <f>SUM(BK6:BK33)</f>
        <v>14283946</v>
      </c>
      <c r="BL34" s="1113">
        <f aca="true" t="shared" si="8" ref="BL34:CO34">SUM(BL6:BL33)</f>
        <v>57164735</v>
      </c>
      <c r="BM34" s="1114">
        <f t="shared" si="8"/>
        <v>49456149</v>
      </c>
      <c r="BN34" s="1079">
        <f t="shared" si="8"/>
        <v>5721168</v>
      </c>
      <c r="BO34" s="1079">
        <f t="shared" si="8"/>
        <v>6578671</v>
      </c>
      <c r="BP34" s="1079">
        <f t="shared" si="8"/>
        <v>19363344</v>
      </c>
      <c r="BQ34" s="1080">
        <f t="shared" si="8"/>
        <v>21084349</v>
      </c>
      <c r="BR34" s="1079">
        <f t="shared" si="8"/>
        <v>15683329</v>
      </c>
      <c r="BS34" s="1079">
        <f t="shared" si="8"/>
        <v>8807797</v>
      </c>
      <c r="BT34" s="1079">
        <f t="shared" si="8"/>
        <v>35385108</v>
      </c>
      <c r="BU34" s="1080">
        <f t="shared" si="8"/>
        <v>29707943</v>
      </c>
      <c r="BV34" s="1080">
        <f t="shared" si="8"/>
        <v>0</v>
      </c>
      <c r="BW34" s="1080">
        <f t="shared" si="8"/>
        <v>0</v>
      </c>
      <c r="BX34" s="1080">
        <f t="shared" si="8"/>
        <v>0</v>
      </c>
      <c r="BY34" s="1080">
        <f t="shared" si="8"/>
        <v>0</v>
      </c>
      <c r="BZ34" s="1080">
        <f t="shared" si="8"/>
        <v>70580236</v>
      </c>
      <c r="CA34" s="1080">
        <f t="shared" si="8"/>
        <v>34881190</v>
      </c>
      <c r="CB34" s="1080">
        <f t="shared" si="8"/>
        <v>152310776</v>
      </c>
      <c r="CC34" s="1080">
        <f t="shared" si="8"/>
        <v>116774881</v>
      </c>
      <c r="CD34" s="1080">
        <f t="shared" si="8"/>
        <v>1800669</v>
      </c>
      <c r="CE34" s="1080">
        <f t="shared" si="8"/>
        <v>1600729</v>
      </c>
      <c r="CF34" s="1080">
        <f t="shared" si="8"/>
        <v>5709989</v>
      </c>
      <c r="CG34" s="1080">
        <f t="shared" si="8"/>
        <v>5688975</v>
      </c>
      <c r="CH34" s="1080">
        <f t="shared" si="8"/>
        <v>2719768</v>
      </c>
      <c r="CI34" s="1080">
        <f t="shared" si="8"/>
        <v>2762463</v>
      </c>
      <c r="CJ34" s="1080">
        <f t="shared" si="8"/>
        <v>9088354</v>
      </c>
      <c r="CK34" s="1080">
        <f t="shared" si="8"/>
        <v>9586814</v>
      </c>
      <c r="CL34" s="1080">
        <f t="shared" si="8"/>
        <v>6950838</v>
      </c>
      <c r="CM34" s="1080">
        <f t="shared" si="8"/>
        <v>5125221</v>
      </c>
      <c r="CN34" s="1080">
        <f t="shared" si="8"/>
        <v>19629260</v>
      </c>
      <c r="CO34" s="1080">
        <f t="shared" si="8"/>
        <v>21570400</v>
      </c>
      <c r="CP34" s="1085">
        <f>SUM(B34+F34+J34+N34+R34+V34+Z34+AD34+AH34+AL34+AP34+AT34+AX34+BB34+BF34+BJ34+BN34+BR34+BV34+BZ34+CD34+CH34+CL34)</f>
        <v>273631515</v>
      </c>
      <c r="CQ34" s="1086">
        <f>SUM(C34+G34+K34+O34+S34+W34+AA34+AE34+AI34+AM34+AQ34+AU34+AY34+BC34+BG34+BK34+BO34+BS34+BW34+CA34+CE34+CI34+CM34)</f>
        <v>242254686</v>
      </c>
      <c r="CR34" s="1086">
        <f>SUM(D34+H34+L34+P34+T34+X34+AB34+AF34+AJ34+AN34+AR34+AV34+AZ34+BD34+BH34+BL34+BP34+BT34+BX34+CB34+CF34+CJ34+CN34)</f>
        <v>775788697</v>
      </c>
      <c r="CS34" s="1087">
        <f>SUM(E34+I34+M34+Q34+U34+Y34+AC34+AG34+AK34+AO34+AS34+AW34+BA34+BE34+BI34+BM34+BQ34+BU34+BY34+CC34+CG34+CK34+CO34)</f>
        <v>792633864</v>
      </c>
      <c r="CT34" s="1194">
        <f>SUM(CT6:CT33)</f>
        <v>860672346</v>
      </c>
      <c r="CU34" s="1195">
        <f>SUM(CU6:CU33)</f>
        <v>756631221</v>
      </c>
      <c r="CV34" s="1195">
        <f>SUM(CV6:CV33)</f>
        <v>2492848617</v>
      </c>
      <c r="CW34" s="1196">
        <f>SUM(CW6:CW33)</f>
        <v>1965650396</v>
      </c>
      <c r="CX34" s="1086">
        <f>CP34+CT34</f>
        <v>1134303861</v>
      </c>
      <c r="CY34" s="1086">
        <f>CQ34+CU34</f>
        <v>998885907</v>
      </c>
      <c r="CZ34" s="1086">
        <f>CR34+CV34</f>
        <v>3268637314</v>
      </c>
      <c r="DA34" s="1115">
        <f>CS34+CW34</f>
        <v>2758284260</v>
      </c>
    </row>
    <row r="35" spans="1:105" s="162" customFormat="1" ht="15" thickBot="1">
      <c r="A35" s="1223" t="s">
        <v>58</v>
      </c>
      <c r="B35" s="1215"/>
      <c r="C35" s="1216"/>
      <c r="D35" s="1216"/>
      <c r="E35" s="1231"/>
      <c r="F35" s="1225"/>
      <c r="G35" s="1216"/>
      <c r="H35" s="1216"/>
      <c r="I35" s="1199"/>
      <c r="J35" s="1210"/>
      <c r="K35" s="1208"/>
      <c r="L35" s="1208"/>
      <c r="M35" s="1209"/>
      <c r="N35" s="255"/>
      <c r="O35" s="255"/>
      <c r="P35" s="255"/>
      <c r="Q35" s="255"/>
      <c r="R35" s="1208"/>
      <c r="S35" s="1208"/>
      <c r="T35" s="1208"/>
      <c r="U35" s="1208"/>
      <c r="V35" s="255"/>
      <c r="W35" s="255"/>
      <c r="X35" s="255"/>
      <c r="Y35" s="254"/>
      <c r="Z35" s="255"/>
      <c r="AA35" s="255"/>
      <c r="AB35" s="255"/>
      <c r="AC35" s="254"/>
      <c r="AD35" s="252"/>
      <c r="AE35" s="252"/>
      <c r="AF35" s="252"/>
      <c r="AG35" s="253"/>
      <c r="AH35" s="251"/>
      <c r="AI35" s="252"/>
      <c r="AJ35" s="252"/>
      <c r="AK35" s="253"/>
      <c r="AL35" s="251"/>
      <c r="AM35" s="252"/>
      <c r="AN35" s="252"/>
      <c r="AO35" s="252"/>
      <c r="AP35" s="256"/>
      <c r="AQ35" s="255"/>
      <c r="AR35" s="255"/>
      <c r="AS35" s="255"/>
      <c r="AT35" s="251"/>
      <c r="AU35" s="252"/>
      <c r="AV35" s="252"/>
      <c r="AW35" s="252"/>
      <c r="AX35" s="251"/>
      <c r="AY35" s="252"/>
      <c r="AZ35" s="252"/>
      <c r="BA35" s="252"/>
      <c r="BB35" s="251"/>
      <c r="BC35" s="252"/>
      <c r="BD35" s="252"/>
      <c r="BE35" s="252"/>
      <c r="BF35" s="251"/>
      <c r="BG35" s="252"/>
      <c r="BH35" s="252"/>
      <c r="BI35" s="252"/>
      <c r="BJ35" s="251"/>
      <c r="BK35" s="252"/>
      <c r="BL35" s="252"/>
      <c r="BM35" s="252"/>
      <c r="BN35" s="251"/>
      <c r="BO35" s="252"/>
      <c r="BP35" s="252"/>
      <c r="BQ35" s="252"/>
      <c r="BR35" s="251"/>
      <c r="BS35" s="252"/>
      <c r="BT35" s="252"/>
      <c r="BU35" s="252"/>
      <c r="BV35" s="379"/>
      <c r="BW35" s="380"/>
      <c r="BX35" s="380"/>
      <c r="BY35" s="381"/>
      <c r="BZ35" s="255"/>
      <c r="CA35" s="255"/>
      <c r="CB35" s="255"/>
      <c r="CC35" s="255"/>
      <c r="CD35" s="256"/>
      <c r="CE35" s="255"/>
      <c r="CF35" s="255"/>
      <c r="CG35" s="255"/>
      <c r="CH35" s="256"/>
      <c r="CI35" s="255"/>
      <c r="CJ35" s="255"/>
      <c r="CK35" s="255"/>
      <c r="CL35" s="256"/>
      <c r="CM35" s="255"/>
      <c r="CN35" s="255"/>
      <c r="CO35" s="255"/>
      <c r="CP35" s="257"/>
      <c r="CQ35" s="258"/>
      <c r="CR35" s="258"/>
      <c r="CS35" s="259"/>
      <c r="CT35" s="1200"/>
      <c r="CU35" s="1201"/>
      <c r="CV35" s="1201"/>
      <c r="CW35" s="1202"/>
      <c r="CX35" s="258"/>
      <c r="CY35" s="258"/>
      <c r="CZ35" s="258"/>
      <c r="DA35" s="260"/>
    </row>
    <row r="36" spans="1:105" s="162" customFormat="1" ht="15" thickBot="1">
      <c r="A36" s="1223" t="s">
        <v>59</v>
      </c>
      <c r="B36" s="1217">
        <f>B34</f>
        <v>15193003</v>
      </c>
      <c r="C36" s="1218">
        <f aca="true" t="shared" si="9" ref="C36:BO36">C34</f>
        <v>13667082</v>
      </c>
      <c r="D36" s="1218">
        <f t="shared" si="9"/>
        <v>52485104</v>
      </c>
      <c r="E36" s="1232">
        <f t="shared" si="9"/>
        <v>50553103</v>
      </c>
      <c r="F36" s="1226">
        <f t="shared" si="9"/>
        <v>997587</v>
      </c>
      <c r="G36" s="1218">
        <f t="shared" si="9"/>
        <v>1091173</v>
      </c>
      <c r="H36" s="1218">
        <f t="shared" si="9"/>
        <v>2969473</v>
      </c>
      <c r="I36" s="1209">
        <f t="shared" si="9"/>
        <v>3452646</v>
      </c>
      <c r="J36" s="1211">
        <f t="shared" si="9"/>
        <v>3592641</v>
      </c>
      <c r="K36" s="1198">
        <f t="shared" si="9"/>
        <v>4824899</v>
      </c>
      <c r="L36" s="1198">
        <f t="shared" si="9"/>
        <v>11817416</v>
      </c>
      <c r="M36" s="1199">
        <f t="shared" si="9"/>
        <v>16113893</v>
      </c>
      <c r="N36" s="255">
        <f t="shared" si="9"/>
        <v>15281450</v>
      </c>
      <c r="O36" s="255">
        <f t="shared" si="9"/>
        <v>23956984</v>
      </c>
      <c r="P36" s="255">
        <f t="shared" si="9"/>
        <v>53321477</v>
      </c>
      <c r="Q36" s="255">
        <f t="shared" si="9"/>
        <v>80535460</v>
      </c>
      <c r="R36" s="1197">
        <f t="shared" si="9"/>
        <v>1145794</v>
      </c>
      <c r="S36" s="1198">
        <f t="shared" si="9"/>
        <v>1757600</v>
      </c>
      <c r="T36" s="1198">
        <f t="shared" si="9"/>
        <v>4337263</v>
      </c>
      <c r="U36" s="1199">
        <f t="shared" si="9"/>
        <v>5697948</v>
      </c>
      <c r="V36" s="255">
        <f t="shared" si="9"/>
        <v>4442949</v>
      </c>
      <c r="W36" s="255">
        <f t="shared" si="9"/>
        <v>4253668</v>
      </c>
      <c r="X36" s="255">
        <f t="shared" si="9"/>
        <v>16070256</v>
      </c>
      <c r="Y36" s="254">
        <f t="shared" si="9"/>
        <v>17857419</v>
      </c>
      <c r="Z36" s="255">
        <f t="shared" si="9"/>
        <v>924485</v>
      </c>
      <c r="AA36" s="255">
        <f t="shared" si="9"/>
        <v>848831</v>
      </c>
      <c r="AB36" s="255">
        <f t="shared" si="9"/>
        <v>3219154</v>
      </c>
      <c r="AC36" s="254">
        <f t="shared" si="9"/>
        <v>2553674</v>
      </c>
      <c r="AD36" s="255">
        <f t="shared" si="9"/>
        <v>203421</v>
      </c>
      <c r="AE36" s="255">
        <f t="shared" si="9"/>
        <v>223329</v>
      </c>
      <c r="AF36" s="255">
        <f t="shared" si="9"/>
        <v>668525</v>
      </c>
      <c r="AG36" s="254">
        <f t="shared" si="9"/>
        <v>746504</v>
      </c>
      <c r="AH36" s="256">
        <f t="shared" si="9"/>
        <v>3498142</v>
      </c>
      <c r="AI36" s="255">
        <f t="shared" si="9"/>
        <v>11992890</v>
      </c>
      <c r="AJ36" s="255">
        <f t="shared" si="9"/>
        <v>3833775</v>
      </c>
      <c r="AK36" s="254">
        <f t="shared" si="9"/>
        <v>12318295</v>
      </c>
      <c r="AL36" s="256">
        <f t="shared" si="9"/>
        <v>1285494</v>
      </c>
      <c r="AM36" s="255">
        <f t="shared" si="9"/>
        <v>1184623</v>
      </c>
      <c r="AN36" s="255">
        <f t="shared" si="9"/>
        <v>3653105</v>
      </c>
      <c r="AO36" s="255">
        <f t="shared" si="9"/>
        <v>4043642</v>
      </c>
      <c r="AP36" s="256">
        <f t="shared" si="9"/>
        <v>44216856</v>
      </c>
      <c r="AQ36" s="255">
        <f t="shared" si="9"/>
        <v>43325769</v>
      </c>
      <c r="AR36" s="255">
        <f t="shared" si="9"/>
        <v>134146391</v>
      </c>
      <c r="AS36" s="255">
        <f t="shared" si="9"/>
        <v>128948777</v>
      </c>
      <c r="AT36" s="256">
        <v>45598893</v>
      </c>
      <c r="AU36" s="255">
        <v>46060458</v>
      </c>
      <c r="AV36" s="255">
        <v>145558270</v>
      </c>
      <c r="AW36" s="255">
        <v>174908162</v>
      </c>
      <c r="AX36" s="256">
        <f t="shared" si="9"/>
        <v>2164315</v>
      </c>
      <c r="AY36" s="255">
        <f t="shared" si="9"/>
        <v>1471827</v>
      </c>
      <c r="AZ36" s="255">
        <f t="shared" si="9"/>
        <v>5788980</v>
      </c>
      <c r="BA36" s="255">
        <f t="shared" si="9"/>
        <v>4985287</v>
      </c>
      <c r="BB36" s="256">
        <f t="shared" si="9"/>
        <v>5646143</v>
      </c>
      <c r="BC36" s="255">
        <f t="shared" si="9"/>
        <v>4797004</v>
      </c>
      <c r="BD36" s="255">
        <f t="shared" si="9"/>
        <v>13584153</v>
      </c>
      <c r="BE36" s="255">
        <f t="shared" si="9"/>
        <v>10989752</v>
      </c>
      <c r="BF36" s="256">
        <f t="shared" si="9"/>
        <v>8277631</v>
      </c>
      <c r="BG36" s="255">
        <f t="shared" si="9"/>
        <v>9444244</v>
      </c>
      <c r="BH36" s="255">
        <f t="shared" si="9"/>
        <v>29356973</v>
      </c>
      <c r="BI36" s="255">
        <f t="shared" si="9"/>
        <v>27709336</v>
      </c>
      <c r="BJ36" s="256">
        <f t="shared" si="9"/>
        <v>18568312</v>
      </c>
      <c r="BK36" s="255">
        <f t="shared" si="9"/>
        <v>14283946</v>
      </c>
      <c r="BL36" s="255">
        <f t="shared" si="9"/>
        <v>57164735</v>
      </c>
      <c r="BM36" s="255">
        <f t="shared" si="9"/>
        <v>49456149</v>
      </c>
      <c r="BN36" s="256">
        <f t="shared" si="9"/>
        <v>5721168</v>
      </c>
      <c r="BO36" s="255">
        <f t="shared" si="9"/>
        <v>6578671</v>
      </c>
      <c r="BP36" s="255">
        <f aca="true" t="shared" si="10" ref="BP36:BU36">BP34</f>
        <v>19363344</v>
      </c>
      <c r="BQ36" s="255">
        <f t="shared" si="10"/>
        <v>21084349</v>
      </c>
      <c r="BR36" s="256">
        <f t="shared" si="10"/>
        <v>15683329</v>
      </c>
      <c r="BS36" s="255">
        <f t="shared" si="10"/>
        <v>8807797</v>
      </c>
      <c r="BT36" s="187">
        <f t="shared" si="10"/>
        <v>35385108</v>
      </c>
      <c r="BU36" s="187">
        <f t="shared" si="10"/>
        <v>29707943</v>
      </c>
      <c r="BV36" s="379"/>
      <c r="BW36" s="380"/>
      <c r="BX36" s="380"/>
      <c r="BY36" s="381"/>
      <c r="BZ36" s="255">
        <f>BZ34</f>
        <v>70580236</v>
      </c>
      <c r="CA36" s="255">
        <f>CA34</f>
        <v>34881190</v>
      </c>
      <c r="CB36" s="255">
        <f aca="true" t="shared" si="11" ref="CB36:CO36">CB34</f>
        <v>152310776</v>
      </c>
      <c r="CC36" s="255">
        <f t="shared" si="11"/>
        <v>116774881</v>
      </c>
      <c r="CD36" s="256">
        <f t="shared" si="11"/>
        <v>1800669</v>
      </c>
      <c r="CE36" s="255">
        <f t="shared" si="11"/>
        <v>1600729</v>
      </c>
      <c r="CF36" s="255">
        <f t="shared" si="11"/>
        <v>5709989</v>
      </c>
      <c r="CG36" s="255">
        <f t="shared" si="11"/>
        <v>5688975</v>
      </c>
      <c r="CH36" s="256">
        <f t="shared" si="11"/>
        <v>2719768</v>
      </c>
      <c r="CI36" s="255">
        <f t="shared" si="11"/>
        <v>2762463</v>
      </c>
      <c r="CJ36" s="255">
        <f t="shared" si="11"/>
        <v>9088354</v>
      </c>
      <c r="CK36" s="255">
        <f t="shared" si="11"/>
        <v>9586814</v>
      </c>
      <c r="CL36" s="256">
        <f t="shared" si="11"/>
        <v>6950838</v>
      </c>
      <c r="CM36" s="255">
        <f t="shared" si="11"/>
        <v>5125221</v>
      </c>
      <c r="CN36" s="255">
        <f t="shared" si="11"/>
        <v>19629260</v>
      </c>
      <c r="CO36" s="255">
        <f t="shared" si="11"/>
        <v>21570400</v>
      </c>
      <c r="CP36" s="257">
        <f>SUM(B36+F36+J36+N36+R36+V36+Z36+AD36+AH36+AL36+AP36+AT36+AX36+BB36+BF36+BJ36+BN36+BR36+BV36+BZ36+CD36+CH36+CL36)</f>
        <v>274493124</v>
      </c>
      <c r="CQ36" s="258">
        <f>SUM(C36+G36+K36+O36+S36+W36+AA36+AE36+AI36+AM36+AQ36+AU36+AY36+BC36+BG36+BK36+BO36+BS36+BW36+CA36+CE36+CI36+CM36)</f>
        <v>242940398</v>
      </c>
      <c r="CR36" s="258">
        <f>SUM(D36+H36+L36+P36+T36+X36+AB36+AF36+AJ36+AN36+AR36+AV36+AZ36+BD36+BH36+BL36+BP36+BT36+BX36+CB36+CF36+CJ36+CN36)</f>
        <v>779461881</v>
      </c>
      <c r="CS36" s="259">
        <f>SUM(E36+I36+M36+Q36+U36+Y36+AC36+AG36+AK36+AO36+AS36+AW36+BA36+BE36+BI36+BM36+BQ36+BU36+BY36+CC36+CG36+CK36+CO36)</f>
        <v>795283409</v>
      </c>
      <c r="CT36" s="1200">
        <f>CT34</f>
        <v>860672346</v>
      </c>
      <c r="CU36" s="1201">
        <f>CU34</f>
        <v>756631221</v>
      </c>
      <c r="CV36" s="1201">
        <f>CV34</f>
        <v>2492848617</v>
      </c>
      <c r="CW36" s="1202">
        <f>CW34</f>
        <v>1965650396</v>
      </c>
      <c r="CX36" s="258">
        <f>CP36+CT36</f>
        <v>1135165470</v>
      </c>
      <c r="CY36" s="258">
        <f>CQ36+CU36</f>
        <v>999571619</v>
      </c>
      <c r="CZ36" s="258">
        <f>CR36+CV36</f>
        <v>3272310498</v>
      </c>
      <c r="DA36" s="260">
        <f>CS36+CW36</f>
        <v>2760933805</v>
      </c>
    </row>
    <row r="37" spans="1:105" s="162" customFormat="1" ht="15" thickBot="1">
      <c r="A37" s="1224" t="s">
        <v>60</v>
      </c>
      <c r="B37" s="1215"/>
      <c r="C37" s="1216"/>
      <c r="D37" s="1216"/>
      <c r="E37" s="1231"/>
      <c r="F37" s="1225"/>
      <c r="G37" s="1216"/>
      <c r="H37" s="1216"/>
      <c r="I37" s="1199"/>
      <c r="J37" s="1210"/>
      <c r="K37" s="1208"/>
      <c r="L37" s="1208"/>
      <c r="M37" s="1209"/>
      <c r="N37" s="187"/>
      <c r="O37" s="187"/>
      <c r="P37" s="187"/>
      <c r="Q37" s="187"/>
      <c r="R37" s="1208"/>
      <c r="S37" s="1208"/>
      <c r="T37" s="1208"/>
      <c r="U37" s="1208"/>
      <c r="V37" s="187"/>
      <c r="W37" s="187"/>
      <c r="X37" s="187"/>
      <c r="Y37" s="188"/>
      <c r="Z37" s="187"/>
      <c r="AA37" s="187"/>
      <c r="AB37" s="187"/>
      <c r="AC37" s="188"/>
      <c r="AD37" s="216"/>
      <c r="AE37" s="216"/>
      <c r="AF37" s="216"/>
      <c r="AG37" s="261"/>
      <c r="AH37" s="215"/>
      <c r="AI37" s="216"/>
      <c r="AJ37" s="216"/>
      <c r="AK37" s="261"/>
      <c r="AL37" s="215"/>
      <c r="AM37" s="216"/>
      <c r="AN37" s="216"/>
      <c r="AO37" s="216"/>
      <c r="AP37" s="189"/>
      <c r="AQ37" s="187"/>
      <c r="AR37" s="187"/>
      <c r="AS37" s="187"/>
      <c r="AT37" s="215"/>
      <c r="AU37" s="216"/>
      <c r="AV37" s="216"/>
      <c r="AW37" s="216"/>
      <c r="AX37" s="215"/>
      <c r="AY37" s="216"/>
      <c r="AZ37" s="216"/>
      <c r="BA37" s="216"/>
      <c r="BB37" s="215"/>
      <c r="BC37" s="216"/>
      <c r="BD37" s="216"/>
      <c r="BE37" s="216"/>
      <c r="BF37" s="215"/>
      <c r="BG37" s="216"/>
      <c r="BH37" s="216"/>
      <c r="BI37" s="216"/>
      <c r="BJ37" s="215"/>
      <c r="BK37" s="216"/>
      <c r="BL37" s="216"/>
      <c r="BM37" s="216"/>
      <c r="BN37" s="215"/>
      <c r="BO37" s="216"/>
      <c r="BP37" s="216"/>
      <c r="BQ37" s="216"/>
      <c r="BR37" s="215"/>
      <c r="BS37" s="216"/>
      <c r="BT37" s="803"/>
      <c r="BU37" s="439"/>
      <c r="BV37" s="804"/>
      <c r="BW37" s="805"/>
      <c r="BX37" s="805"/>
      <c r="BY37" s="806"/>
      <c r="BZ37" s="187"/>
      <c r="CA37" s="187"/>
      <c r="CB37" s="187"/>
      <c r="CC37" s="187"/>
      <c r="CD37" s="189"/>
      <c r="CE37" s="187"/>
      <c r="CF37" s="187"/>
      <c r="CG37" s="187"/>
      <c r="CH37" s="189"/>
      <c r="CI37" s="187"/>
      <c r="CJ37" s="187"/>
      <c r="CK37" s="187"/>
      <c r="CL37" s="189"/>
      <c r="CM37" s="187"/>
      <c r="CN37" s="187"/>
      <c r="CO37" s="187"/>
      <c r="CP37" s="807"/>
      <c r="CQ37" s="808"/>
      <c r="CR37" s="808"/>
      <c r="CS37" s="809"/>
      <c r="CT37" s="1200"/>
      <c r="CU37" s="1201"/>
      <c r="CV37" s="1201"/>
      <c r="CW37" s="1202"/>
      <c r="CX37" s="808"/>
      <c r="CY37" s="808"/>
      <c r="CZ37" s="808"/>
      <c r="DA37" s="810"/>
    </row>
    <row r="38" spans="1:105" s="1116" customFormat="1" ht="15" thickBot="1">
      <c r="A38" s="1222" t="s">
        <v>57</v>
      </c>
      <c r="B38" s="1219">
        <f>B36</f>
        <v>15193003</v>
      </c>
      <c r="C38" s="1220">
        <f aca="true" t="shared" si="12" ref="C38:BN38">C36</f>
        <v>13667082</v>
      </c>
      <c r="D38" s="1220">
        <f t="shared" si="12"/>
        <v>52485104</v>
      </c>
      <c r="E38" s="1233">
        <f t="shared" si="12"/>
        <v>50553103</v>
      </c>
      <c r="F38" s="1227">
        <f t="shared" si="12"/>
        <v>997587</v>
      </c>
      <c r="G38" s="1220">
        <f t="shared" si="12"/>
        <v>1091173</v>
      </c>
      <c r="H38" s="1220">
        <f t="shared" si="12"/>
        <v>2969473</v>
      </c>
      <c r="I38" s="1221">
        <f t="shared" si="12"/>
        <v>3452646</v>
      </c>
      <c r="J38" s="1212">
        <f t="shared" si="12"/>
        <v>3592641</v>
      </c>
      <c r="K38" s="1204">
        <f t="shared" si="12"/>
        <v>4824899</v>
      </c>
      <c r="L38" s="1204">
        <f t="shared" si="12"/>
        <v>11817416</v>
      </c>
      <c r="M38" s="1205">
        <f t="shared" si="12"/>
        <v>16113893</v>
      </c>
      <c r="N38" s="1121">
        <f t="shared" si="12"/>
        <v>15281450</v>
      </c>
      <c r="O38" s="1121">
        <f t="shared" si="12"/>
        <v>23956984</v>
      </c>
      <c r="P38" s="1121">
        <f t="shared" si="12"/>
        <v>53321477</v>
      </c>
      <c r="Q38" s="1121">
        <f t="shared" si="12"/>
        <v>80535460</v>
      </c>
      <c r="R38" s="1203">
        <f t="shared" si="12"/>
        <v>1145794</v>
      </c>
      <c r="S38" s="1204">
        <f t="shared" si="12"/>
        <v>1757600</v>
      </c>
      <c r="T38" s="1204">
        <f t="shared" si="12"/>
        <v>4337263</v>
      </c>
      <c r="U38" s="1205">
        <f t="shared" si="12"/>
        <v>5697948</v>
      </c>
      <c r="V38" s="1121">
        <f t="shared" si="12"/>
        <v>4442949</v>
      </c>
      <c r="W38" s="1121">
        <f t="shared" si="12"/>
        <v>4253668</v>
      </c>
      <c r="X38" s="1121">
        <f t="shared" si="12"/>
        <v>16070256</v>
      </c>
      <c r="Y38" s="1120">
        <f t="shared" si="12"/>
        <v>17857419</v>
      </c>
      <c r="Z38" s="1121">
        <f t="shared" si="12"/>
        <v>924485</v>
      </c>
      <c r="AA38" s="1121">
        <f t="shared" si="12"/>
        <v>848831</v>
      </c>
      <c r="AB38" s="1121">
        <f t="shared" si="12"/>
        <v>3219154</v>
      </c>
      <c r="AC38" s="1120">
        <f t="shared" si="12"/>
        <v>2553674</v>
      </c>
      <c r="AD38" s="1118">
        <f t="shared" si="12"/>
        <v>203421</v>
      </c>
      <c r="AE38" s="1118">
        <f t="shared" si="12"/>
        <v>223329</v>
      </c>
      <c r="AF38" s="1118">
        <f t="shared" si="12"/>
        <v>668525</v>
      </c>
      <c r="AG38" s="1119">
        <f t="shared" si="12"/>
        <v>746504</v>
      </c>
      <c r="AH38" s="1117">
        <f t="shared" si="12"/>
        <v>3498142</v>
      </c>
      <c r="AI38" s="1118">
        <f t="shared" si="12"/>
        <v>11992890</v>
      </c>
      <c r="AJ38" s="1118">
        <f t="shared" si="12"/>
        <v>3833775</v>
      </c>
      <c r="AK38" s="1119">
        <f t="shared" si="12"/>
        <v>12318295</v>
      </c>
      <c r="AL38" s="1117">
        <f t="shared" si="12"/>
        <v>1285494</v>
      </c>
      <c r="AM38" s="1118">
        <f t="shared" si="12"/>
        <v>1184623</v>
      </c>
      <c r="AN38" s="1118">
        <f t="shared" si="12"/>
        <v>3653105</v>
      </c>
      <c r="AO38" s="1118">
        <f t="shared" si="12"/>
        <v>4043642</v>
      </c>
      <c r="AP38" s="1122">
        <f t="shared" si="12"/>
        <v>44216856</v>
      </c>
      <c r="AQ38" s="1121">
        <f t="shared" si="12"/>
        <v>43325769</v>
      </c>
      <c r="AR38" s="1121">
        <f t="shared" si="12"/>
        <v>134146391</v>
      </c>
      <c r="AS38" s="1121">
        <f t="shared" si="12"/>
        <v>128948777</v>
      </c>
      <c r="AT38" s="1117">
        <f t="shared" si="12"/>
        <v>45598893</v>
      </c>
      <c r="AU38" s="1118">
        <f>AU36</f>
        <v>46060458</v>
      </c>
      <c r="AV38" s="1118">
        <f t="shared" si="12"/>
        <v>145558270</v>
      </c>
      <c r="AW38" s="1118">
        <f t="shared" si="12"/>
        <v>174908162</v>
      </c>
      <c r="AX38" s="1117">
        <f t="shared" si="12"/>
        <v>2164315</v>
      </c>
      <c r="AY38" s="1118">
        <f t="shared" si="12"/>
        <v>1471827</v>
      </c>
      <c r="AZ38" s="1118">
        <f t="shared" si="12"/>
        <v>5788980</v>
      </c>
      <c r="BA38" s="1118">
        <f t="shared" si="12"/>
        <v>4985287</v>
      </c>
      <c r="BB38" s="1117">
        <f t="shared" si="12"/>
        <v>5646143</v>
      </c>
      <c r="BC38" s="1118">
        <f t="shared" si="12"/>
        <v>4797004</v>
      </c>
      <c r="BD38" s="1118">
        <f t="shared" si="12"/>
        <v>13584153</v>
      </c>
      <c r="BE38" s="1118">
        <f t="shared" si="12"/>
        <v>10989752</v>
      </c>
      <c r="BF38" s="1117">
        <f t="shared" si="12"/>
        <v>8277631</v>
      </c>
      <c r="BG38" s="1118">
        <f t="shared" si="12"/>
        <v>9444244</v>
      </c>
      <c r="BH38" s="1118">
        <f t="shared" si="12"/>
        <v>29356973</v>
      </c>
      <c r="BI38" s="1118">
        <f t="shared" si="12"/>
        <v>27709336</v>
      </c>
      <c r="BJ38" s="1117">
        <f t="shared" si="12"/>
        <v>18568312</v>
      </c>
      <c r="BK38" s="1118">
        <f t="shared" si="12"/>
        <v>14283946</v>
      </c>
      <c r="BL38" s="1118">
        <f t="shared" si="12"/>
        <v>57164735</v>
      </c>
      <c r="BM38" s="1118">
        <f t="shared" si="12"/>
        <v>49456149</v>
      </c>
      <c r="BN38" s="1117">
        <f t="shared" si="12"/>
        <v>5721168</v>
      </c>
      <c r="BO38" s="1118">
        <f aca="true" t="shared" si="13" ref="BO38:CO38">BO36</f>
        <v>6578671</v>
      </c>
      <c r="BP38" s="1118">
        <f t="shared" si="13"/>
        <v>19363344</v>
      </c>
      <c r="BQ38" s="1118">
        <f t="shared" si="13"/>
        <v>21084349</v>
      </c>
      <c r="BR38" s="1117">
        <f t="shared" si="13"/>
        <v>15683329</v>
      </c>
      <c r="BS38" s="1118">
        <f t="shared" si="13"/>
        <v>8807797</v>
      </c>
      <c r="BT38" s="1123">
        <f t="shared" si="13"/>
        <v>35385108</v>
      </c>
      <c r="BU38" s="1124">
        <f t="shared" si="13"/>
        <v>29707943</v>
      </c>
      <c r="BV38" s="1125">
        <f t="shared" si="13"/>
        <v>0</v>
      </c>
      <c r="BW38" s="1126">
        <f t="shared" si="13"/>
        <v>0</v>
      </c>
      <c r="BX38" s="1126">
        <f t="shared" si="13"/>
        <v>0</v>
      </c>
      <c r="BY38" s="1124">
        <f t="shared" si="13"/>
        <v>0</v>
      </c>
      <c r="BZ38" s="1121">
        <f t="shared" si="13"/>
        <v>70580236</v>
      </c>
      <c r="CA38" s="1121">
        <f t="shared" si="13"/>
        <v>34881190</v>
      </c>
      <c r="CB38" s="1121">
        <f t="shared" si="13"/>
        <v>152310776</v>
      </c>
      <c r="CC38" s="1121">
        <f t="shared" si="13"/>
        <v>116774881</v>
      </c>
      <c r="CD38" s="1122">
        <f t="shared" si="13"/>
        <v>1800669</v>
      </c>
      <c r="CE38" s="1121">
        <f t="shared" si="13"/>
        <v>1600729</v>
      </c>
      <c r="CF38" s="1121">
        <f t="shared" si="13"/>
        <v>5709989</v>
      </c>
      <c r="CG38" s="1121">
        <f t="shared" si="13"/>
        <v>5688975</v>
      </c>
      <c r="CH38" s="1122">
        <f t="shared" si="13"/>
        <v>2719768</v>
      </c>
      <c r="CI38" s="1121">
        <f t="shared" si="13"/>
        <v>2762463</v>
      </c>
      <c r="CJ38" s="1121">
        <f t="shared" si="13"/>
        <v>9088354</v>
      </c>
      <c r="CK38" s="1121">
        <f t="shared" si="13"/>
        <v>9586814</v>
      </c>
      <c r="CL38" s="1122">
        <f t="shared" si="13"/>
        <v>6950838</v>
      </c>
      <c r="CM38" s="1121">
        <f t="shared" si="13"/>
        <v>5125221</v>
      </c>
      <c r="CN38" s="1121">
        <f t="shared" si="13"/>
        <v>19629260</v>
      </c>
      <c r="CO38" s="1121">
        <f t="shared" si="13"/>
        <v>21570400</v>
      </c>
      <c r="CP38" s="1085">
        <f>SUM(B38+F38+J38+N38+R38+V38+Z38+AD38+AH38+AL38+AP38+AT38+AX38+BB38+BF38+BJ38+BN38+BR38+BV38+BZ38+CD38+CH38+CL38)</f>
        <v>274493124</v>
      </c>
      <c r="CQ38" s="1086">
        <f>SUM(C38+G38+K38+O38+S38+W38+AA38+AE38+AI38+AM38+AQ38+AU38+AY38+BC38+BG38+BK38+BO38+BS38+BW38+CA38+CE38+CI38+CM38)</f>
        <v>242940398</v>
      </c>
      <c r="CR38" s="1086">
        <f>SUM(D38+H38+L38+P38+T38+X38+AB38+AF38+AJ38+AN38+AR38+AV38+AZ38+BD38+BH38+BL38+BP38+BT38+BX38+CB38+CF38+CJ38+CN38)</f>
        <v>779461881</v>
      </c>
      <c r="CS38" s="1087">
        <f>SUM(E38+I38+M38+Q38+U38+Y38+AC38+AG38+AK38+AO38+AS38+AW38+BA38+BE38+BI38+BM38+BQ38+BU38+BY38+CC38+CG38+CK38+CO38)</f>
        <v>795283409</v>
      </c>
      <c r="CT38" s="1203">
        <f>CT36</f>
        <v>860672346</v>
      </c>
      <c r="CU38" s="1204">
        <f>CU36</f>
        <v>756631221</v>
      </c>
      <c r="CV38" s="1204">
        <f>CV36</f>
        <v>2492848617</v>
      </c>
      <c r="CW38" s="1205">
        <f>CW36</f>
        <v>1965650396</v>
      </c>
      <c r="CX38" s="1086">
        <f>CP38+CT38</f>
        <v>1135165470</v>
      </c>
      <c r="CY38" s="1086">
        <f>CQ38+CU38</f>
        <v>999571619</v>
      </c>
      <c r="CZ38" s="1086">
        <f>CR38+CV38</f>
        <v>3272310498</v>
      </c>
      <c r="DA38" s="1115">
        <f>CS38+CW38</f>
        <v>2760933805</v>
      </c>
    </row>
    <row r="39" spans="1:105" s="162" customFormat="1" ht="14.25">
      <c r="A39" s="141"/>
      <c r="I39" s="262"/>
      <c r="AP39" s="262"/>
      <c r="AQ39" s="262"/>
      <c r="AR39" s="262"/>
      <c r="AS39" s="262"/>
      <c r="CD39" s="262"/>
      <c r="CE39" s="262"/>
      <c r="CF39" s="262"/>
      <c r="CG39" s="262"/>
      <c r="CH39" s="262"/>
      <c r="CI39" s="262"/>
      <c r="CJ39" s="262"/>
      <c r="CK39" s="262"/>
      <c r="CL39" s="262"/>
      <c r="CM39" s="262"/>
      <c r="CN39" s="262"/>
      <c r="CO39" s="262"/>
      <c r="CP39" s="262"/>
      <c r="CQ39" s="262"/>
      <c r="CR39" s="262"/>
      <c r="CS39" s="262"/>
      <c r="CT39" s="262"/>
      <c r="CU39" s="262"/>
      <c r="CV39" s="262"/>
      <c r="CW39" s="262"/>
      <c r="CX39" s="262"/>
      <c r="CY39" s="262"/>
      <c r="CZ39" s="262"/>
      <c r="DA39" s="262"/>
    </row>
  </sheetData>
  <sheetProtection/>
  <mergeCells count="29">
    <mergeCell ref="BN3:BQ3"/>
    <mergeCell ref="BR3:BU3"/>
    <mergeCell ref="CX3:DA3"/>
    <mergeCell ref="BZ3:CC3"/>
    <mergeCell ref="CD3:CG3"/>
    <mergeCell ref="CH3:CK3"/>
    <mergeCell ref="CL3:CO3"/>
    <mergeCell ref="CP3:CS3"/>
    <mergeCell ref="CT3:CW3"/>
    <mergeCell ref="BV3:BY3"/>
    <mergeCell ref="A1:CY1"/>
    <mergeCell ref="A2:CY2"/>
    <mergeCell ref="A3:A4"/>
    <mergeCell ref="B3:E3"/>
    <mergeCell ref="F3:I3"/>
    <mergeCell ref="J3:M3"/>
    <mergeCell ref="N3:Q3"/>
    <mergeCell ref="AD3:AG3"/>
    <mergeCell ref="AH3:AK3"/>
    <mergeCell ref="AL3:AO3"/>
    <mergeCell ref="R3:U3"/>
    <mergeCell ref="V3:Y3"/>
    <mergeCell ref="Z3:AC3"/>
    <mergeCell ref="BB3:BE3"/>
    <mergeCell ref="BF3:BI3"/>
    <mergeCell ref="BJ3:BM3"/>
    <mergeCell ref="AP3:AS3"/>
    <mergeCell ref="AT3:AW3"/>
    <mergeCell ref="AX3:BA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A14"/>
  <sheetViews>
    <sheetView zoomScalePageLayoutView="0" workbookViewId="0" topLeftCell="A1">
      <pane xSplit="1" topLeftCell="P1" activePane="topRight" state="frozen"/>
      <selection pane="topLeft" activeCell="A1" sqref="A1"/>
      <selection pane="topRight" activeCell="A9" sqref="A9"/>
    </sheetView>
  </sheetViews>
  <sheetFormatPr defaultColWidth="9.140625" defaultRowHeight="15"/>
  <cols>
    <col min="1" max="1" width="56.140625" style="157" customWidth="1"/>
    <col min="2" max="2" width="10.28125" style="157" bestFit="1" customWidth="1"/>
    <col min="3" max="3" width="10.421875" style="157" customWidth="1"/>
    <col min="4" max="4" width="11.421875" style="157" customWidth="1"/>
    <col min="5" max="5" width="11.57421875" style="157" bestFit="1" customWidth="1"/>
    <col min="6" max="6" width="10.7109375" style="157" customWidth="1"/>
    <col min="7" max="8" width="10.28125" style="157" bestFit="1" customWidth="1"/>
    <col min="9" max="9" width="11.57421875" style="157" bestFit="1" customWidth="1"/>
    <col min="10" max="10" width="10.140625" style="157" customWidth="1"/>
    <col min="11" max="11" width="10.57421875" style="157" customWidth="1"/>
    <col min="12" max="13" width="11.57421875" style="157" bestFit="1" customWidth="1"/>
    <col min="14" max="15" width="10.28125" style="157" bestFit="1" customWidth="1"/>
    <col min="16" max="16" width="11.57421875" style="157" bestFit="1" customWidth="1"/>
    <col min="17" max="17" width="10.28125" style="157" bestFit="1" customWidth="1"/>
    <col min="18" max="18" width="10.140625" style="157" customWidth="1"/>
    <col min="19" max="19" width="10.28125" style="157" bestFit="1" customWidth="1"/>
    <col min="20" max="20" width="10.28125" style="157" customWidth="1"/>
    <col min="21" max="21" width="11.57421875" style="157" bestFit="1" customWidth="1"/>
    <col min="22" max="22" width="10.140625" style="157" customWidth="1"/>
    <col min="23" max="23" width="10.28125" style="157" bestFit="1" customWidth="1"/>
    <col min="24" max="24" width="10.140625" style="157" customWidth="1"/>
    <col min="25" max="25" width="13.7109375" style="157" customWidth="1"/>
    <col min="26" max="26" width="10.140625" style="157" customWidth="1"/>
    <col min="27" max="27" width="13.57421875" style="100" customWidth="1"/>
    <col min="28" max="16384" width="9.140625" style="157" customWidth="1"/>
  </cols>
  <sheetData>
    <row r="1" spans="1:27" s="930" customFormat="1" ht="17.25" thickBot="1">
      <c r="A1" s="1762" t="s">
        <v>444</v>
      </c>
      <c r="B1" s="1762"/>
      <c r="C1" s="1762"/>
      <c r="D1" s="1762"/>
      <c r="E1" s="1762"/>
      <c r="F1" s="1762"/>
      <c r="G1" s="1762"/>
      <c r="H1" s="1762"/>
      <c r="I1" s="1762"/>
      <c r="J1" s="1762"/>
      <c r="K1" s="1762"/>
      <c r="L1" s="1762"/>
      <c r="M1" s="1762"/>
      <c r="N1" s="1762"/>
      <c r="O1" s="1762"/>
      <c r="P1" s="1762"/>
      <c r="Q1" s="1762"/>
      <c r="R1" s="1762"/>
      <c r="S1" s="1762"/>
      <c r="T1" s="1762"/>
      <c r="U1" s="1762"/>
      <c r="V1" s="1762"/>
      <c r="W1" s="1762"/>
      <c r="X1" s="1762"/>
      <c r="Y1" s="1762"/>
      <c r="Z1" s="1762"/>
      <c r="AA1" s="1762"/>
    </row>
    <row r="2" spans="1:27" ht="112.5" customHeight="1" thickBot="1">
      <c r="A2" s="1761" t="s">
        <v>0</v>
      </c>
      <c r="B2" s="1309" t="s">
        <v>190</v>
      </c>
      <c r="C2" s="1015" t="s">
        <v>191</v>
      </c>
      <c r="D2" s="1015" t="s">
        <v>192</v>
      </c>
      <c r="E2" s="1015" t="s">
        <v>193</v>
      </c>
      <c r="F2" s="1015" t="s">
        <v>194</v>
      </c>
      <c r="G2" s="1015" t="s">
        <v>195</v>
      </c>
      <c r="H2" s="1015" t="s">
        <v>196</v>
      </c>
      <c r="I2" s="1015" t="s">
        <v>197</v>
      </c>
      <c r="J2" s="1015" t="s">
        <v>198</v>
      </c>
      <c r="K2" s="1015" t="s">
        <v>199</v>
      </c>
      <c r="L2" s="1015" t="s">
        <v>200</v>
      </c>
      <c r="M2" s="1015" t="s">
        <v>201</v>
      </c>
      <c r="N2" s="1015" t="s">
        <v>202</v>
      </c>
      <c r="O2" s="1015" t="s">
        <v>203</v>
      </c>
      <c r="P2" s="1015" t="s">
        <v>204</v>
      </c>
      <c r="Q2" s="1015" t="s">
        <v>205</v>
      </c>
      <c r="R2" s="1015" t="s">
        <v>206</v>
      </c>
      <c r="S2" s="1015" t="s">
        <v>207</v>
      </c>
      <c r="T2" s="1015" t="s">
        <v>208</v>
      </c>
      <c r="U2" s="1015" t="s">
        <v>209</v>
      </c>
      <c r="V2" s="1015" t="s">
        <v>210</v>
      </c>
      <c r="W2" s="1015" t="s">
        <v>211</v>
      </c>
      <c r="X2" s="1015" t="s">
        <v>212</v>
      </c>
      <c r="Y2" s="1237" t="s">
        <v>1</v>
      </c>
      <c r="Z2" s="1015" t="s">
        <v>213</v>
      </c>
      <c r="AA2" s="1673" t="s">
        <v>2</v>
      </c>
    </row>
    <row r="3" spans="1:27" s="1018" customFormat="1" ht="36.75" customHeight="1" thickBot="1">
      <c r="A3" s="1761"/>
      <c r="B3" s="1235" t="s">
        <v>420</v>
      </c>
      <c r="C3" s="1236" t="s">
        <v>420</v>
      </c>
      <c r="D3" s="1236" t="s">
        <v>420</v>
      </c>
      <c r="E3" s="1236" t="s">
        <v>420</v>
      </c>
      <c r="F3" s="1236" t="s">
        <v>420</v>
      </c>
      <c r="G3" s="1236" t="s">
        <v>420</v>
      </c>
      <c r="H3" s="1236" t="s">
        <v>420</v>
      </c>
      <c r="I3" s="1236" t="s">
        <v>420</v>
      </c>
      <c r="J3" s="1236" t="s">
        <v>420</v>
      </c>
      <c r="K3" s="1236" t="s">
        <v>420</v>
      </c>
      <c r="L3" s="1236" t="s">
        <v>420</v>
      </c>
      <c r="M3" s="1236" t="s">
        <v>420</v>
      </c>
      <c r="N3" s="1236" t="s">
        <v>420</v>
      </c>
      <c r="O3" s="1236" t="s">
        <v>420</v>
      </c>
      <c r="P3" s="1236" t="s">
        <v>420</v>
      </c>
      <c r="Q3" s="1236" t="s">
        <v>420</v>
      </c>
      <c r="R3" s="1236" t="s">
        <v>420</v>
      </c>
      <c r="S3" s="1236" t="s">
        <v>420</v>
      </c>
      <c r="T3" s="1236" t="s">
        <v>420</v>
      </c>
      <c r="U3" s="1236" t="s">
        <v>420</v>
      </c>
      <c r="V3" s="1236" t="s">
        <v>420</v>
      </c>
      <c r="W3" s="1236" t="s">
        <v>420</v>
      </c>
      <c r="X3" s="1236" t="s">
        <v>420</v>
      </c>
      <c r="Y3" s="1235" t="s">
        <v>420</v>
      </c>
      <c r="Z3" s="1236" t="s">
        <v>420</v>
      </c>
      <c r="AA3" s="1674" t="s">
        <v>420</v>
      </c>
    </row>
    <row r="4" spans="1:27" ht="16.5">
      <c r="A4" s="922" t="s">
        <v>431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7"/>
      <c r="L4" s="1675"/>
      <c r="M4" s="1676"/>
      <c r="N4" s="1676"/>
      <c r="O4" s="1676"/>
      <c r="P4" s="1676"/>
      <c r="Q4" s="1676"/>
      <c r="R4" s="1676" t="s">
        <v>455</v>
      </c>
      <c r="S4" s="1676"/>
      <c r="T4" s="1676"/>
      <c r="U4" s="1676"/>
      <c r="V4" s="1676"/>
      <c r="W4" s="1676"/>
      <c r="X4" s="1676"/>
      <c r="Y4" s="1675"/>
      <c r="Z4" s="1676"/>
      <c r="AA4" s="1675"/>
    </row>
    <row r="5" spans="1:27" ht="16.5">
      <c r="A5" s="914" t="s">
        <v>432</v>
      </c>
      <c r="B5" s="1670">
        <v>682920</v>
      </c>
      <c r="C5" s="1670"/>
      <c r="D5" s="1670"/>
      <c r="E5" s="1670"/>
      <c r="F5" s="1670"/>
      <c r="G5" s="1670"/>
      <c r="H5" s="1670"/>
      <c r="I5" s="1670"/>
      <c r="J5" s="1670"/>
      <c r="K5" s="1678"/>
      <c r="L5" s="1671"/>
      <c r="M5" s="1670"/>
      <c r="N5" s="1670"/>
      <c r="O5" s="1670"/>
      <c r="P5" s="1670"/>
      <c r="Q5" s="1670">
        <v>258784</v>
      </c>
      <c r="R5" s="1670"/>
      <c r="S5" s="1670"/>
      <c r="T5" s="1670"/>
      <c r="U5" s="1670"/>
      <c r="V5" s="1670"/>
      <c r="W5" s="1670"/>
      <c r="X5" s="1670"/>
      <c r="Y5" s="1671">
        <f>SUM(B5:X5)</f>
        <v>941704</v>
      </c>
      <c r="Z5" s="1670"/>
      <c r="AA5" s="1671">
        <f>Y5+Z5</f>
        <v>941704</v>
      </c>
    </row>
    <row r="6" spans="1:27" ht="16.5">
      <c r="A6" s="914" t="s">
        <v>433</v>
      </c>
      <c r="B6" s="1670">
        <v>2000028</v>
      </c>
      <c r="C6" s="1679">
        <v>6466905</v>
      </c>
      <c r="D6" s="1670" t="s">
        <v>455</v>
      </c>
      <c r="E6" s="1670">
        <v>10599550</v>
      </c>
      <c r="F6" s="1670">
        <v>2074442</v>
      </c>
      <c r="G6" s="1670">
        <v>1250000</v>
      </c>
      <c r="H6" s="1670">
        <v>8329217</v>
      </c>
      <c r="I6" s="1670">
        <v>16848478</v>
      </c>
      <c r="J6" s="1670">
        <v>0</v>
      </c>
      <c r="K6" s="1678">
        <v>0</v>
      </c>
      <c r="L6" s="1671">
        <v>3668548</v>
      </c>
      <c r="M6" s="1670">
        <v>34277490</v>
      </c>
      <c r="N6" s="1670"/>
      <c r="O6" s="1670">
        <v>1300000</v>
      </c>
      <c r="P6" s="1670">
        <v>520363</v>
      </c>
      <c r="Q6" s="1670">
        <v>680913</v>
      </c>
      <c r="R6" s="1670"/>
      <c r="S6" s="1670">
        <v>3031592</v>
      </c>
      <c r="T6" s="1670"/>
      <c r="U6" s="1670"/>
      <c r="V6" s="1670">
        <v>4284</v>
      </c>
      <c r="W6" s="1670">
        <v>2686056</v>
      </c>
      <c r="X6" s="1670"/>
      <c r="Y6" s="1671">
        <f aca="true" t="shared" si="0" ref="Y6:Y14">SUM(B6:X6)</f>
        <v>93737866</v>
      </c>
      <c r="Z6" s="1670"/>
      <c r="AA6" s="1671">
        <f aca="true" t="shared" si="1" ref="AA6:AA14">Y6+Z6</f>
        <v>93737866</v>
      </c>
    </row>
    <row r="7" spans="1:27" ht="16.5">
      <c r="A7" s="914" t="s">
        <v>434</v>
      </c>
      <c r="B7" s="1670"/>
      <c r="C7" s="1679"/>
      <c r="D7" s="1670"/>
      <c r="E7" s="1670">
        <v>403626</v>
      </c>
      <c r="F7" s="1670"/>
      <c r="G7" s="1670"/>
      <c r="H7" s="1670"/>
      <c r="I7" s="1670"/>
      <c r="J7" s="1670"/>
      <c r="K7" s="1678"/>
      <c r="L7" s="1671"/>
      <c r="M7" s="1670">
        <v>233264</v>
      </c>
      <c r="N7" s="1670"/>
      <c r="O7" s="1670"/>
      <c r="P7" s="1670"/>
      <c r="Q7" s="1670"/>
      <c r="R7" s="1670"/>
      <c r="S7" s="1670"/>
      <c r="T7" s="1670"/>
      <c r="U7" s="1670"/>
      <c r="V7" s="1670"/>
      <c r="W7" s="1670"/>
      <c r="X7" s="1670">
        <v>259637</v>
      </c>
      <c r="Y7" s="1671">
        <f t="shared" si="0"/>
        <v>896527</v>
      </c>
      <c r="Z7" s="1670"/>
      <c r="AA7" s="1671">
        <f t="shared" si="1"/>
        <v>896527</v>
      </c>
    </row>
    <row r="8" spans="1:27" ht="16.5">
      <c r="A8" s="914" t="s">
        <v>435</v>
      </c>
      <c r="B8" s="1670"/>
      <c r="C8" s="1679"/>
      <c r="D8" s="1670"/>
      <c r="E8" s="1670"/>
      <c r="F8" s="1670"/>
      <c r="G8" s="1670"/>
      <c r="H8" s="1670"/>
      <c r="I8" s="1670"/>
      <c r="J8" s="1670"/>
      <c r="K8" s="1678"/>
      <c r="L8" s="1671"/>
      <c r="M8" s="1670"/>
      <c r="N8" s="1670"/>
      <c r="O8" s="1670"/>
      <c r="P8" s="1670"/>
      <c r="Q8" s="1670"/>
      <c r="R8" s="1670"/>
      <c r="S8" s="1670"/>
      <c r="T8" s="1670"/>
      <c r="U8" s="1670"/>
      <c r="V8" s="1670"/>
      <c r="W8" s="1670"/>
      <c r="X8" s="1670"/>
      <c r="Y8" s="1671">
        <f t="shared" si="0"/>
        <v>0</v>
      </c>
      <c r="Z8" s="1670">
        <f>5029488+245828</f>
        <v>5275316</v>
      </c>
      <c r="AA8" s="1671">
        <f t="shared" si="1"/>
        <v>5275316</v>
      </c>
    </row>
    <row r="9" spans="1:27" ht="16.5">
      <c r="A9" s="914" t="s">
        <v>436</v>
      </c>
      <c r="B9" s="1670"/>
      <c r="C9" s="1679"/>
      <c r="D9" s="1670"/>
      <c r="E9" s="1670"/>
      <c r="F9" s="1670"/>
      <c r="G9" s="1670"/>
      <c r="H9" s="1670"/>
      <c r="I9" s="1670"/>
      <c r="J9" s="1670"/>
      <c r="K9" s="1678"/>
      <c r="L9" s="1671"/>
      <c r="M9" s="1670"/>
      <c r="N9" s="1670"/>
      <c r="O9" s="1670"/>
      <c r="P9" s="1670"/>
      <c r="Q9" s="1670"/>
      <c r="R9" s="1670"/>
      <c r="S9" s="1670"/>
      <c r="T9" s="1670"/>
      <c r="U9" s="1670"/>
      <c r="V9" s="1670"/>
      <c r="W9" s="1670"/>
      <c r="X9" s="1670"/>
      <c r="Y9" s="1671">
        <f t="shared" si="0"/>
        <v>0</v>
      </c>
      <c r="Z9" s="1670"/>
      <c r="AA9" s="1671">
        <f t="shared" si="1"/>
        <v>0</v>
      </c>
    </row>
    <row r="10" spans="1:27" ht="16.5">
      <c r="A10" s="914" t="s">
        <v>437</v>
      </c>
      <c r="B10" s="1670"/>
      <c r="C10" s="1679"/>
      <c r="D10" s="1670"/>
      <c r="E10" s="1670"/>
      <c r="F10" s="1670"/>
      <c r="G10" s="1670"/>
      <c r="H10" s="1670"/>
      <c r="I10" s="1670"/>
      <c r="J10" s="1670"/>
      <c r="K10" s="1678"/>
      <c r="L10" s="1671"/>
      <c r="M10" s="1670"/>
      <c r="N10" s="1670"/>
      <c r="O10" s="1670"/>
      <c r="P10" s="1670"/>
      <c r="Q10" s="1670"/>
      <c r="R10" s="1670"/>
      <c r="S10" s="1670"/>
      <c r="T10" s="1670"/>
      <c r="U10" s="1670"/>
      <c r="V10" s="1670"/>
      <c r="W10" s="1670"/>
      <c r="X10" s="1670"/>
      <c r="Y10" s="1671">
        <f t="shared" si="0"/>
        <v>0</v>
      </c>
      <c r="Z10" s="1670"/>
      <c r="AA10" s="1671">
        <f t="shared" si="1"/>
        <v>0</v>
      </c>
    </row>
    <row r="11" spans="1:27" ht="16.5">
      <c r="A11" s="914" t="s">
        <v>438</v>
      </c>
      <c r="B11" s="1670"/>
      <c r="C11" s="1679"/>
      <c r="D11" s="1670"/>
      <c r="E11" s="1670"/>
      <c r="F11" s="1670"/>
      <c r="G11" s="1670"/>
      <c r="H11" s="1670"/>
      <c r="I11" s="1670"/>
      <c r="J11" s="1670"/>
      <c r="K11" s="1678"/>
      <c r="L11" s="1671"/>
      <c r="M11" s="1670"/>
      <c r="N11" s="1670"/>
      <c r="O11" s="1670"/>
      <c r="P11" s="1670"/>
      <c r="Q11" s="1670"/>
      <c r="R11" s="1670"/>
      <c r="S11" s="1670"/>
      <c r="T11" s="1670"/>
      <c r="U11" s="1670"/>
      <c r="V11" s="1670"/>
      <c r="W11" s="1670"/>
      <c r="X11" s="1670"/>
      <c r="Y11" s="1671">
        <f t="shared" si="0"/>
        <v>0</v>
      </c>
      <c r="Z11" s="1670"/>
      <c r="AA11" s="1671">
        <f t="shared" si="1"/>
        <v>0</v>
      </c>
    </row>
    <row r="12" spans="1:27" ht="16.5">
      <c r="A12" s="914" t="s">
        <v>439</v>
      </c>
      <c r="B12" s="1670"/>
      <c r="C12" s="1679"/>
      <c r="D12" s="1670"/>
      <c r="E12" s="1670"/>
      <c r="F12" s="1670"/>
      <c r="G12" s="1670"/>
      <c r="H12" s="1670"/>
      <c r="I12" s="1670"/>
      <c r="J12" s="1670"/>
      <c r="K12" s="1678"/>
      <c r="L12" s="1671"/>
      <c r="M12" s="1670"/>
      <c r="N12" s="1670"/>
      <c r="O12" s="1670"/>
      <c r="P12" s="1670"/>
      <c r="Q12" s="1670"/>
      <c r="R12" s="1670"/>
      <c r="S12" s="1670"/>
      <c r="T12" s="1670"/>
      <c r="U12" s="1670"/>
      <c r="V12" s="1670"/>
      <c r="W12" s="1670"/>
      <c r="X12" s="1670"/>
      <c r="Y12" s="1671">
        <f t="shared" si="0"/>
        <v>0</v>
      </c>
      <c r="Z12" s="1670">
        <v>-7541</v>
      </c>
      <c r="AA12" s="1671">
        <f t="shared" si="1"/>
        <v>-7541</v>
      </c>
    </row>
    <row r="13" spans="1:27" ht="16.5">
      <c r="A13" s="914" t="s">
        <v>440</v>
      </c>
      <c r="B13" s="1670"/>
      <c r="C13" s="1679"/>
      <c r="D13" s="1670"/>
      <c r="E13" s="1670">
        <v>83393632</v>
      </c>
      <c r="F13" s="1670"/>
      <c r="G13" s="1670"/>
      <c r="H13" s="1670"/>
      <c r="I13" s="1670"/>
      <c r="J13" s="1670"/>
      <c r="K13" s="1678"/>
      <c r="L13" s="1671">
        <v>32740263</v>
      </c>
      <c r="M13" s="1670">
        <v>19842696</v>
      </c>
      <c r="N13" s="1670">
        <v>1126212</v>
      </c>
      <c r="O13" s="1670"/>
      <c r="P13" s="1670">
        <v>21830354</v>
      </c>
      <c r="Q13" s="1670">
        <v>7538521</v>
      </c>
      <c r="R13" s="1670"/>
      <c r="S13" s="1670"/>
      <c r="T13" s="1670"/>
      <c r="U13" s="1670">
        <v>64601438</v>
      </c>
      <c r="V13" s="1670">
        <v>4463880</v>
      </c>
      <c r="W13" s="1670"/>
      <c r="X13" s="1670">
        <v>900986</v>
      </c>
      <c r="Y13" s="1671">
        <f t="shared" si="0"/>
        <v>236437982</v>
      </c>
      <c r="Z13" s="1670"/>
      <c r="AA13" s="1671">
        <f t="shared" si="1"/>
        <v>236437982</v>
      </c>
    </row>
    <row r="14" spans="1:27" s="1143" customFormat="1" ht="17.25" thickBot="1">
      <c r="A14" s="1133" t="s">
        <v>57</v>
      </c>
      <c r="B14" s="1139">
        <f aca="true" t="shared" si="2" ref="B14:Z14">SUM(B4:B13)</f>
        <v>2682948</v>
      </c>
      <c r="C14" s="1140">
        <f t="shared" si="2"/>
        <v>6466905</v>
      </c>
      <c r="D14" s="1140">
        <f t="shared" si="2"/>
        <v>0</v>
      </c>
      <c r="E14" s="1140">
        <f t="shared" si="2"/>
        <v>94396808</v>
      </c>
      <c r="F14" s="1140">
        <f t="shared" si="2"/>
        <v>2074442</v>
      </c>
      <c r="G14" s="1140">
        <f t="shared" si="2"/>
        <v>1250000</v>
      </c>
      <c r="H14" s="1140">
        <f t="shared" si="2"/>
        <v>8329217</v>
      </c>
      <c r="I14" s="1140">
        <f t="shared" si="2"/>
        <v>16848478</v>
      </c>
      <c r="J14" s="1140">
        <f t="shared" si="2"/>
        <v>0</v>
      </c>
      <c r="K14" s="1141">
        <f t="shared" si="2"/>
        <v>0</v>
      </c>
      <c r="L14" s="1142">
        <f t="shared" si="2"/>
        <v>36408811</v>
      </c>
      <c r="M14" s="1139">
        <f t="shared" si="2"/>
        <v>54353450</v>
      </c>
      <c r="N14" s="1140">
        <f t="shared" si="2"/>
        <v>1126212</v>
      </c>
      <c r="O14" s="1140">
        <f t="shared" si="2"/>
        <v>1300000</v>
      </c>
      <c r="P14" s="1140">
        <f t="shared" si="2"/>
        <v>22350717</v>
      </c>
      <c r="Q14" s="1140">
        <f t="shared" si="2"/>
        <v>8478218</v>
      </c>
      <c r="R14" s="1140">
        <f t="shared" si="2"/>
        <v>0</v>
      </c>
      <c r="S14" s="1140">
        <f t="shared" si="2"/>
        <v>3031592</v>
      </c>
      <c r="T14" s="1140">
        <f t="shared" si="2"/>
        <v>0</v>
      </c>
      <c r="U14" s="1140">
        <f t="shared" si="2"/>
        <v>64601438</v>
      </c>
      <c r="V14" s="1140">
        <f t="shared" si="2"/>
        <v>4468164</v>
      </c>
      <c r="W14" s="1140">
        <f t="shared" si="2"/>
        <v>2686056</v>
      </c>
      <c r="X14" s="1140">
        <f t="shared" si="2"/>
        <v>1160623</v>
      </c>
      <c r="Y14" s="1672">
        <f t="shared" si="0"/>
        <v>332014079</v>
      </c>
      <c r="Z14" s="1140">
        <f t="shared" si="2"/>
        <v>5267775</v>
      </c>
      <c r="AA14" s="1672">
        <f t="shared" si="1"/>
        <v>337281854</v>
      </c>
    </row>
  </sheetData>
  <sheetProtection/>
  <mergeCells count="2">
    <mergeCell ref="A2:A3"/>
    <mergeCell ref="A1:AA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A8"/>
  <sheetViews>
    <sheetView zoomScalePageLayoutView="0" workbookViewId="0" topLeftCell="A1">
      <pane xSplit="1" topLeftCell="P1" activePane="topRight" state="frozen"/>
      <selection pane="topLeft" activeCell="A1" sqref="A1"/>
      <selection pane="topRight" activeCell="Z11" sqref="Z11"/>
    </sheetView>
  </sheetViews>
  <sheetFormatPr defaultColWidth="9.140625" defaultRowHeight="15"/>
  <cols>
    <col min="1" max="1" width="48.8515625" style="157" customWidth="1"/>
    <col min="2" max="3" width="10.8515625" style="157" customWidth="1"/>
    <col min="4" max="4" width="10.57421875" style="157" customWidth="1"/>
    <col min="5" max="5" width="10.421875" style="157" customWidth="1"/>
    <col min="6" max="6" width="11.28125" style="157" customWidth="1"/>
    <col min="7" max="7" width="10.8515625" style="157" customWidth="1"/>
    <col min="8" max="9" width="10.57421875" style="157" customWidth="1"/>
    <col min="10" max="11" width="10.28125" style="157" customWidth="1"/>
    <col min="12" max="12" width="10.57421875" style="157" customWidth="1"/>
    <col min="13" max="13" width="10.7109375" style="157" customWidth="1"/>
    <col min="14" max="14" width="10.421875" style="157" customWidth="1"/>
    <col min="15" max="15" width="11.421875" style="157" customWidth="1"/>
    <col min="16" max="17" width="10.421875" style="157" customWidth="1"/>
    <col min="18" max="18" width="11.28125" style="157" customWidth="1"/>
    <col min="19" max="20" width="10.28125" style="157" customWidth="1"/>
    <col min="21" max="23" width="10.57421875" style="157" customWidth="1"/>
    <col min="24" max="24" width="10.7109375" style="157" customWidth="1"/>
    <col min="25" max="25" width="10.28125" style="157" bestFit="1" customWidth="1"/>
    <col min="26" max="26" width="10.421875" style="157" customWidth="1"/>
    <col min="27" max="27" width="10.28125" style="157" bestFit="1" customWidth="1"/>
    <col min="28" max="16384" width="9.140625" style="157" customWidth="1"/>
  </cols>
  <sheetData>
    <row r="1" s="930" customFormat="1" ht="17.25" thickBot="1">
      <c r="A1" s="931" t="s">
        <v>445</v>
      </c>
    </row>
    <row r="2" spans="1:27" ht="129" thickBot="1">
      <c r="A2" s="1763" t="s">
        <v>0</v>
      </c>
      <c r="B2" s="1234" t="s">
        <v>190</v>
      </c>
      <c r="C2" s="1414" t="s">
        <v>191</v>
      </c>
      <c r="D2" s="1414" t="s">
        <v>192</v>
      </c>
      <c r="E2" s="1414" t="s">
        <v>193</v>
      </c>
      <c r="F2" s="1414" t="s">
        <v>194</v>
      </c>
      <c r="G2" s="1414" t="s">
        <v>195</v>
      </c>
      <c r="H2" s="1414" t="s">
        <v>196</v>
      </c>
      <c r="I2" s="1414" t="s">
        <v>197</v>
      </c>
      <c r="J2" s="1414" t="s">
        <v>198</v>
      </c>
      <c r="K2" s="1414" t="s">
        <v>199</v>
      </c>
      <c r="L2" s="1414" t="s">
        <v>200</v>
      </c>
      <c r="M2" s="1414" t="s">
        <v>201</v>
      </c>
      <c r="N2" s="1414" t="s">
        <v>202</v>
      </c>
      <c r="O2" s="1414" t="s">
        <v>203</v>
      </c>
      <c r="P2" s="1414" t="s">
        <v>204</v>
      </c>
      <c r="Q2" s="1414" t="s">
        <v>205</v>
      </c>
      <c r="R2" s="1414" t="s">
        <v>206</v>
      </c>
      <c r="S2" s="1414" t="s">
        <v>207</v>
      </c>
      <c r="T2" s="1414" t="s">
        <v>208</v>
      </c>
      <c r="U2" s="1414" t="s">
        <v>209</v>
      </c>
      <c r="V2" s="1414" t="s">
        <v>210</v>
      </c>
      <c r="W2" s="1414" t="s">
        <v>211</v>
      </c>
      <c r="X2" s="1414" t="s">
        <v>212</v>
      </c>
      <c r="Y2" s="1414" t="s">
        <v>1</v>
      </c>
      <c r="Z2" s="1414" t="s">
        <v>213</v>
      </c>
      <c r="AA2" s="1414" t="s">
        <v>2</v>
      </c>
    </row>
    <row r="3" spans="1:27" s="1018" customFormat="1" ht="31.5" customHeight="1" thickBot="1">
      <c r="A3" s="1764"/>
      <c r="B3" s="1235" t="s">
        <v>420</v>
      </c>
      <c r="C3" s="1236" t="s">
        <v>420</v>
      </c>
      <c r="D3" s="1236" t="s">
        <v>420</v>
      </c>
      <c r="E3" s="1236" t="s">
        <v>420</v>
      </c>
      <c r="F3" s="1236" t="s">
        <v>420</v>
      </c>
      <c r="G3" s="1236" t="s">
        <v>420</v>
      </c>
      <c r="H3" s="1236" t="s">
        <v>420</v>
      </c>
      <c r="I3" s="1236" t="s">
        <v>420</v>
      </c>
      <c r="J3" s="1236" t="s">
        <v>420</v>
      </c>
      <c r="K3" s="1236" t="s">
        <v>420</v>
      </c>
      <c r="L3" s="1236" t="s">
        <v>420</v>
      </c>
      <c r="M3" s="1236" t="s">
        <v>420</v>
      </c>
      <c r="N3" s="1236" t="s">
        <v>420</v>
      </c>
      <c r="O3" s="1236" t="s">
        <v>420</v>
      </c>
      <c r="P3" s="1236" t="s">
        <v>420</v>
      </c>
      <c r="Q3" s="1236" t="s">
        <v>420</v>
      </c>
      <c r="R3" s="1236" t="s">
        <v>420</v>
      </c>
      <c r="S3" s="1236" t="s">
        <v>420</v>
      </c>
      <c r="T3" s="1236" t="s">
        <v>420</v>
      </c>
      <c r="U3" s="1236" t="s">
        <v>420</v>
      </c>
      <c r="V3" s="1236" t="s">
        <v>420</v>
      </c>
      <c r="W3" s="1236" t="s">
        <v>420</v>
      </c>
      <c r="X3" s="1236" t="s">
        <v>420</v>
      </c>
      <c r="Y3" s="1236" t="s">
        <v>420</v>
      </c>
      <c r="Z3" s="1236" t="s">
        <v>420</v>
      </c>
      <c r="AA3" s="1236" t="s">
        <v>420</v>
      </c>
    </row>
    <row r="4" spans="1:27" ht="16.5">
      <c r="A4" s="922" t="s">
        <v>441</v>
      </c>
      <c r="B4" s="915">
        <v>0</v>
      </c>
      <c r="C4" s="915">
        <v>700000</v>
      </c>
      <c r="D4" s="915" t="s">
        <v>455</v>
      </c>
      <c r="E4" s="915">
        <v>0</v>
      </c>
      <c r="F4" s="915">
        <v>600000</v>
      </c>
      <c r="G4" s="915">
        <v>0</v>
      </c>
      <c r="H4" s="915">
        <v>0</v>
      </c>
      <c r="I4" s="915">
        <v>0</v>
      </c>
      <c r="J4" s="915">
        <v>0</v>
      </c>
      <c r="K4" s="915">
        <v>0</v>
      </c>
      <c r="L4" s="915">
        <v>0</v>
      </c>
      <c r="M4" s="915">
        <v>0</v>
      </c>
      <c r="N4" s="915">
        <v>0</v>
      </c>
      <c r="O4" s="915">
        <v>1000000</v>
      </c>
      <c r="P4" s="915">
        <v>0</v>
      </c>
      <c r="Q4" s="915">
        <v>0</v>
      </c>
      <c r="R4" s="915"/>
      <c r="S4" s="915">
        <v>0</v>
      </c>
      <c r="T4" s="915"/>
      <c r="U4" s="915">
        <v>0</v>
      </c>
      <c r="V4" s="915"/>
      <c r="W4" s="927">
        <v>0</v>
      </c>
      <c r="X4" s="920">
        <v>0</v>
      </c>
      <c r="Y4" s="915">
        <f>SUM(B4:X4)</f>
        <v>2300000</v>
      </c>
      <c r="Z4" s="923">
        <v>0</v>
      </c>
      <c r="AA4" s="925">
        <f>SUM(Y4+Z4)</f>
        <v>2300000</v>
      </c>
    </row>
    <row r="5" spans="1:27" ht="16.5">
      <c r="A5" s="914" t="s">
        <v>442</v>
      </c>
      <c r="B5" s="916"/>
      <c r="C5" s="916"/>
      <c r="D5" s="916"/>
      <c r="E5" s="916"/>
      <c r="F5" s="916"/>
      <c r="G5" s="916"/>
      <c r="H5" s="916"/>
      <c r="I5" s="916"/>
      <c r="J5" s="916"/>
      <c r="K5" s="916"/>
      <c r="L5" s="916"/>
      <c r="M5" s="916"/>
      <c r="N5" s="916"/>
      <c r="O5" s="916"/>
      <c r="P5" s="916"/>
      <c r="Q5" s="916"/>
      <c r="R5" s="916"/>
      <c r="S5" s="916"/>
      <c r="T5" s="916"/>
      <c r="U5" s="916"/>
      <c r="V5" s="916" t="s">
        <v>455</v>
      </c>
      <c r="W5" s="928"/>
      <c r="X5" s="921"/>
      <c r="Y5" s="916"/>
      <c r="Z5" s="924"/>
      <c r="AA5" s="926"/>
    </row>
    <row r="6" spans="1:27" ht="16.5">
      <c r="A6" s="914" t="s">
        <v>443</v>
      </c>
      <c r="B6" s="916"/>
      <c r="C6" s="916"/>
      <c r="D6" s="916"/>
      <c r="E6" s="916"/>
      <c r="F6" s="916"/>
      <c r="G6" s="916"/>
      <c r="H6" s="916"/>
      <c r="I6" s="916"/>
      <c r="J6" s="916"/>
      <c r="K6" s="916"/>
      <c r="L6" s="916"/>
      <c r="M6" s="916"/>
      <c r="N6" s="916"/>
      <c r="O6" s="916"/>
      <c r="P6" s="916"/>
      <c r="Q6" s="916"/>
      <c r="R6" s="916"/>
      <c r="S6" s="916"/>
      <c r="T6" s="916"/>
      <c r="U6" s="916"/>
      <c r="V6" s="916"/>
      <c r="W6" s="928"/>
      <c r="X6" s="921"/>
      <c r="Y6" s="916"/>
      <c r="Z6" s="924"/>
      <c r="AA6" s="926"/>
    </row>
    <row r="7" spans="1:27" ht="16.5">
      <c r="A7" s="914" t="s">
        <v>78</v>
      </c>
      <c r="B7" s="916"/>
      <c r="C7" s="916"/>
      <c r="D7" s="916"/>
      <c r="E7" s="916"/>
      <c r="F7" s="916"/>
      <c r="G7" s="916"/>
      <c r="H7" s="916"/>
      <c r="I7" s="916"/>
      <c r="J7" s="916"/>
      <c r="K7" s="916"/>
      <c r="L7" s="916"/>
      <c r="M7" s="916"/>
      <c r="N7" s="916"/>
      <c r="O7" s="916"/>
      <c r="P7" s="916"/>
      <c r="Q7" s="916"/>
      <c r="R7" s="916">
        <v>47179</v>
      </c>
      <c r="S7" s="916"/>
      <c r="T7" s="916"/>
      <c r="U7" s="916"/>
      <c r="V7" s="916"/>
      <c r="W7" s="928"/>
      <c r="X7" s="921"/>
      <c r="Y7" s="916"/>
      <c r="Z7" s="924"/>
      <c r="AA7" s="926"/>
    </row>
    <row r="8" spans="1:27" s="1018" customFormat="1" ht="17.25" thickBot="1">
      <c r="A8" s="1133" t="s">
        <v>57</v>
      </c>
      <c r="B8" s="1134">
        <v>0</v>
      </c>
      <c r="C8" s="1134">
        <v>700000</v>
      </c>
      <c r="D8" s="1134"/>
      <c r="E8" s="1134">
        <v>0</v>
      </c>
      <c r="F8" s="1134">
        <f>F4</f>
        <v>600000</v>
      </c>
      <c r="G8" s="1134">
        <v>0</v>
      </c>
      <c r="H8" s="1134">
        <v>0</v>
      </c>
      <c r="I8" s="1134">
        <v>0</v>
      </c>
      <c r="J8" s="1134">
        <v>0</v>
      </c>
      <c r="K8" s="1134">
        <v>0</v>
      </c>
      <c r="L8" s="1134">
        <v>0</v>
      </c>
      <c r="M8" s="1134">
        <v>0</v>
      </c>
      <c r="N8" s="1134">
        <v>0</v>
      </c>
      <c r="O8" s="1134">
        <f>O4</f>
        <v>1000000</v>
      </c>
      <c r="P8" s="1134">
        <v>0</v>
      </c>
      <c r="Q8" s="1134">
        <v>0</v>
      </c>
      <c r="R8" s="1134">
        <v>47179</v>
      </c>
      <c r="S8" s="1134">
        <v>0</v>
      </c>
      <c r="T8" s="1134"/>
      <c r="U8" s="1134">
        <v>0</v>
      </c>
      <c r="V8" s="1134"/>
      <c r="W8" s="1135">
        <v>0</v>
      </c>
      <c r="X8" s="1136">
        <f>X4</f>
        <v>0</v>
      </c>
      <c r="Y8" s="1134">
        <f>SUM(B8:X8)</f>
        <v>2347179</v>
      </c>
      <c r="Z8" s="1137">
        <v>0</v>
      </c>
      <c r="AA8" s="1138">
        <f>SUM(Y8+Z8)</f>
        <v>2347179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2"/>
  <sheetViews>
    <sheetView zoomScalePageLayoutView="0" workbookViewId="0" topLeftCell="A1">
      <pane xSplit="1" topLeftCell="U1" activePane="topRight" state="frozen"/>
      <selection pane="topLeft" activeCell="A1" sqref="A1"/>
      <selection pane="topRight" activeCell="D20" sqref="D20"/>
    </sheetView>
  </sheetViews>
  <sheetFormatPr defaultColWidth="9.140625" defaultRowHeight="15"/>
  <cols>
    <col min="1" max="1" width="38.421875" style="1004" bestFit="1" customWidth="1"/>
    <col min="2" max="2" width="22.00390625" style="162" customWidth="1"/>
    <col min="3" max="19" width="19.8515625" style="162" bestFit="1" customWidth="1"/>
    <col min="20" max="20" width="19.8515625" style="909" bestFit="1" customWidth="1"/>
    <col min="21" max="25" width="19.8515625" style="162" bestFit="1" customWidth="1"/>
    <col min="26" max="26" width="19.421875" style="162" customWidth="1"/>
    <col min="27" max="27" width="19.7109375" style="909" customWidth="1"/>
    <col min="28" max="16384" width="9.140625" style="909" customWidth="1"/>
  </cols>
  <sheetData>
    <row r="1" spans="1:27" ht="57.75" thickBot="1">
      <c r="A1" s="1620" t="s">
        <v>346</v>
      </c>
      <c r="B1" s="1003" t="s">
        <v>190</v>
      </c>
      <c r="C1" s="997" t="s">
        <v>191</v>
      </c>
      <c r="D1" s="997" t="s">
        <v>192</v>
      </c>
      <c r="E1" s="997" t="s">
        <v>193</v>
      </c>
      <c r="F1" s="997" t="s">
        <v>194</v>
      </c>
      <c r="G1" s="997" t="s">
        <v>195</v>
      </c>
      <c r="H1" s="997" t="s">
        <v>196</v>
      </c>
      <c r="I1" s="997" t="s">
        <v>197</v>
      </c>
      <c r="J1" s="997" t="s">
        <v>198</v>
      </c>
      <c r="K1" s="997" t="s">
        <v>199</v>
      </c>
      <c r="L1" s="997" t="s">
        <v>200</v>
      </c>
      <c r="M1" s="997" t="s">
        <v>201</v>
      </c>
      <c r="N1" s="997" t="s">
        <v>202</v>
      </c>
      <c r="O1" s="997" t="s">
        <v>203</v>
      </c>
      <c r="P1" s="815" t="s">
        <v>204</v>
      </c>
      <c r="Q1" s="997" t="s">
        <v>205</v>
      </c>
      <c r="R1" s="997" t="s">
        <v>206</v>
      </c>
      <c r="S1" s="997" t="s">
        <v>207</v>
      </c>
      <c r="T1" s="999" t="s">
        <v>208</v>
      </c>
      <c r="U1" s="1000" t="s">
        <v>209</v>
      </c>
      <c r="V1" s="1001" t="s">
        <v>210</v>
      </c>
      <c r="W1" s="997" t="s">
        <v>211</v>
      </c>
      <c r="X1" s="1002" t="s">
        <v>212</v>
      </c>
      <c r="Y1" s="814" t="s">
        <v>1</v>
      </c>
      <c r="Z1" s="815" t="s">
        <v>213</v>
      </c>
      <c r="AA1" s="1006" t="s">
        <v>2</v>
      </c>
    </row>
    <row r="2" spans="1:27" s="1131" customFormat="1" ht="31.5" customHeight="1" thickBot="1">
      <c r="A2" s="1112" t="s">
        <v>0</v>
      </c>
      <c r="B2" s="1129" t="s">
        <v>343</v>
      </c>
      <c r="C2" s="1129" t="s">
        <v>343</v>
      </c>
      <c r="D2" s="1129" t="s">
        <v>343</v>
      </c>
      <c r="E2" s="1129" t="s">
        <v>343</v>
      </c>
      <c r="F2" s="1129" t="s">
        <v>343</v>
      </c>
      <c r="G2" s="1129" t="s">
        <v>343</v>
      </c>
      <c r="H2" s="1129" t="s">
        <v>343</v>
      </c>
      <c r="I2" s="1129" t="s">
        <v>343</v>
      </c>
      <c r="J2" s="1129" t="s">
        <v>343</v>
      </c>
      <c r="K2" s="1129" t="s">
        <v>343</v>
      </c>
      <c r="L2" s="1129" t="s">
        <v>343</v>
      </c>
      <c r="M2" s="1129" t="s">
        <v>343</v>
      </c>
      <c r="N2" s="1129" t="s">
        <v>343</v>
      </c>
      <c r="O2" s="1129" t="s">
        <v>343</v>
      </c>
      <c r="P2" s="1129" t="s">
        <v>343</v>
      </c>
      <c r="Q2" s="1129" t="s">
        <v>343</v>
      </c>
      <c r="R2" s="1129" t="s">
        <v>343</v>
      </c>
      <c r="S2" s="1129" t="s">
        <v>343</v>
      </c>
      <c r="T2" s="1130" t="s">
        <v>343</v>
      </c>
      <c r="U2" s="1130" t="s">
        <v>343</v>
      </c>
      <c r="V2" s="1129" t="s">
        <v>343</v>
      </c>
      <c r="W2" s="1129" t="s">
        <v>343</v>
      </c>
      <c r="X2" s="1129" t="s">
        <v>343</v>
      </c>
      <c r="Y2" s="1129" t="s">
        <v>343</v>
      </c>
      <c r="Z2" s="1129" t="s">
        <v>343</v>
      </c>
      <c r="AA2" s="1129" t="s">
        <v>343</v>
      </c>
    </row>
    <row r="3" spans="1:27" ht="14.25">
      <c r="A3" s="267" t="s">
        <v>347</v>
      </c>
      <c r="B3" s="837"/>
      <c r="C3" s="837"/>
      <c r="D3" s="837"/>
      <c r="E3" s="837"/>
      <c r="F3" s="837"/>
      <c r="G3" s="837"/>
      <c r="H3" s="837"/>
      <c r="I3" s="837"/>
      <c r="J3" s="837"/>
      <c r="K3" s="837"/>
      <c r="L3" s="837"/>
      <c r="M3" s="837"/>
      <c r="N3" s="837"/>
      <c r="O3" s="837"/>
      <c r="P3" s="837"/>
      <c r="Q3" s="837"/>
      <c r="R3" s="837"/>
      <c r="S3" s="837"/>
      <c r="T3" s="996"/>
      <c r="U3" s="842"/>
      <c r="V3" s="843"/>
      <c r="W3" s="837"/>
      <c r="X3" s="1238"/>
      <c r="Y3" s="843"/>
      <c r="Z3" s="837"/>
      <c r="AA3" s="1007"/>
    </row>
    <row r="4" spans="1:27" ht="12.75">
      <c r="A4" s="911" t="s">
        <v>348</v>
      </c>
      <c r="B4" s="817"/>
      <c r="C4" s="817"/>
      <c r="D4" s="817" t="s">
        <v>455</v>
      </c>
      <c r="E4" s="817"/>
      <c r="F4" s="817"/>
      <c r="G4" s="817"/>
      <c r="H4" s="817"/>
      <c r="I4" s="817"/>
      <c r="J4" s="817"/>
      <c r="K4" s="817"/>
      <c r="L4" s="817"/>
      <c r="M4" s="817"/>
      <c r="N4" s="817"/>
      <c r="O4" s="817"/>
      <c r="P4" s="817"/>
      <c r="Q4" s="817"/>
      <c r="R4" s="817"/>
      <c r="S4" s="817"/>
      <c r="T4" s="910"/>
      <c r="U4" s="160"/>
      <c r="V4" s="161"/>
      <c r="W4" s="817"/>
      <c r="X4" s="848"/>
      <c r="Y4" s="161"/>
      <c r="Z4" s="817"/>
      <c r="AA4" s="998"/>
    </row>
    <row r="5" spans="1:27" ht="12.75">
      <c r="A5" s="158" t="s">
        <v>349</v>
      </c>
      <c r="B5" s="817"/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910"/>
      <c r="U5" s="160"/>
      <c r="V5" s="161"/>
      <c r="W5" s="817"/>
      <c r="X5" s="848"/>
      <c r="Y5" s="161"/>
      <c r="Z5" s="817"/>
      <c r="AA5" s="998"/>
    </row>
    <row r="6" spans="1:27" ht="12.75">
      <c r="A6" s="158" t="s">
        <v>350</v>
      </c>
      <c r="B6" s="817"/>
      <c r="C6" s="817"/>
      <c r="D6" s="817"/>
      <c r="E6" s="817"/>
      <c r="F6" s="817"/>
      <c r="G6" s="817"/>
      <c r="H6" s="817"/>
      <c r="I6" s="817"/>
      <c r="J6" s="817"/>
      <c r="K6" s="817"/>
      <c r="L6" s="817">
        <v>7</v>
      </c>
      <c r="M6" s="817"/>
      <c r="N6" s="817"/>
      <c r="O6" s="817"/>
      <c r="P6" s="817">
        <v>470768</v>
      </c>
      <c r="Q6" s="817"/>
      <c r="R6" s="817"/>
      <c r="S6" s="817"/>
      <c r="T6" s="910"/>
      <c r="U6" s="160"/>
      <c r="V6" s="161"/>
      <c r="W6" s="817"/>
      <c r="X6" s="848"/>
      <c r="Y6" s="161">
        <f aca="true" t="shared" si="0" ref="Y6:Y42">SUM(B6:X6)</f>
        <v>470775</v>
      </c>
      <c r="Z6" s="817">
        <v>177961531</v>
      </c>
      <c r="AA6" s="817">
        <f>Y6+Z6</f>
        <v>178432306</v>
      </c>
    </row>
    <row r="7" spans="1:27" ht="12.75">
      <c r="A7" s="158" t="s">
        <v>351</v>
      </c>
      <c r="B7" s="817"/>
      <c r="C7" s="817"/>
      <c r="D7" s="817"/>
      <c r="E7" s="817"/>
      <c r="F7" s="817"/>
      <c r="G7" s="817"/>
      <c r="H7" s="817"/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910"/>
      <c r="U7" s="160"/>
      <c r="V7" s="161"/>
      <c r="W7" s="817"/>
      <c r="X7" s="848"/>
      <c r="Y7" s="161">
        <f t="shared" si="0"/>
        <v>0</v>
      </c>
      <c r="Z7" s="817">
        <v>164668</v>
      </c>
      <c r="AA7" s="817">
        <f aca="true" t="shared" si="1" ref="AA7:AA42">Y7+Z7</f>
        <v>164668</v>
      </c>
    </row>
    <row r="8" spans="1:27" ht="12.75">
      <c r="A8" s="158" t="s">
        <v>352</v>
      </c>
      <c r="B8" s="817"/>
      <c r="C8" s="817"/>
      <c r="D8" s="817"/>
      <c r="E8" s="817"/>
      <c r="F8" s="817"/>
      <c r="G8" s="817"/>
      <c r="H8" s="817"/>
      <c r="I8" s="817"/>
      <c r="J8" s="817"/>
      <c r="K8" s="817"/>
      <c r="L8" s="817"/>
      <c r="M8" s="817"/>
      <c r="N8" s="817"/>
      <c r="O8" s="817"/>
      <c r="P8" s="817"/>
      <c r="Q8" s="817"/>
      <c r="R8" s="817"/>
      <c r="S8" s="817"/>
      <c r="T8" s="910"/>
      <c r="U8" s="160"/>
      <c r="V8" s="161"/>
      <c r="W8" s="817"/>
      <c r="X8" s="848"/>
      <c r="Y8" s="161">
        <f t="shared" si="0"/>
        <v>0</v>
      </c>
      <c r="Z8" s="817"/>
      <c r="AA8" s="817">
        <f t="shared" si="1"/>
        <v>0</v>
      </c>
    </row>
    <row r="9" spans="1:27" ht="12.75">
      <c r="A9" s="158" t="s">
        <v>353</v>
      </c>
      <c r="B9" s="817">
        <v>1140600</v>
      </c>
      <c r="C9" s="817">
        <v>7007</v>
      </c>
      <c r="D9" s="817"/>
      <c r="E9" s="817">
        <v>3184129</v>
      </c>
      <c r="F9" s="817">
        <v>106510</v>
      </c>
      <c r="G9" s="817">
        <v>4350</v>
      </c>
      <c r="H9" s="817">
        <v>193360</v>
      </c>
      <c r="I9" s="817">
        <v>47715</v>
      </c>
      <c r="J9" s="817">
        <v>3711767</v>
      </c>
      <c r="K9" s="817">
        <v>104494</v>
      </c>
      <c r="L9" s="817">
        <v>795904</v>
      </c>
      <c r="M9" s="817">
        <v>2701858</v>
      </c>
      <c r="N9" s="817">
        <v>39111</v>
      </c>
      <c r="O9" s="817">
        <v>68111</v>
      </c>
      <c r="P9" s="817">
        <v>311311</v>
      </c>
      <c r="Q9" s="817">
        <v>3265049</v>
      </c>
      <c r="R9" s="817">
        <v>459221</v>
      </c>
      <c r="S9" s="817">
        <v>352119</v>
      </c>
      <c r="T9" s="910"/>
      <c r="U9" s="160">
        <v>442697</v>
      </c>
      <c r="V9" s="161">
        <v>223353</v>
      </c>
      <c r="W9" s="817">
        <v>84346</v>
      </c>
      <c r="X9" s="848">
        <v>3590429</v>
      </c>
      <c r="Y9" s="161">
        <f t="shared" si="0"/>
        <v>20833441</v>
      </c>
      <c r="Z9" s="817">
        <v>920875441</v>
      </c>
      <c r="AA9" s="817">
        <f t="shared" si="1"/>
        <v>941708882</v>
      </c>
    </row>
    <row r="10" spans="1:27" ht="12.75">
      <c r="A10" s="158" t="s">
        <v>354</v>
      </c>
      <c r="B10" s="817"/>
      <c r="C10" s="1248"/>
      <c r="D10" s="817"/>
      <c r="E10" s="817"/>
      <c r="F10" s="817"/>
      <c r="G10" s="817"/>
      <c r="H10" s="817"/>
      <c r="I10" s="817">
        <v>5001</v>
      </c>
      <c r="J10" s="817"/>
      <c r="K10" s="817"/>
      <c r="L10" s="817"/>
      <c r="M10" s="817"/>
      <c r="N10" s="817"/>
      <c r="O10" s="817"/>
      <c r="P10" s="817">
        <v>100000</v>
      </c>
      <c r="Q10" s="817"/>
      <c r="R10" s="817"/>
      <c r="S10" s="817"/>
      <c r="T10" s="910"/>
      <c r="U10" s="160">
        <v>1282350</v>
      </c>
      <c r="V10" s="161"/>
      <c r="W10" s="817"/>
      <c r="X10" s="848"/>
      <c r="Y10" s="161">
        <f t="shared" si="0"/>
        <v>1387351</v>
      </c>
      <c r="Z10" s="817">
        <f>54928164+9050999+2</f>
        <v>63979165</v>
      </c>
      <c r="AA10" s="817">
        <f t="shared" si="1"/>
        <v>65366516</v>
      </c>
    </row>
    <row r="11" spans="1:27" ht="12.75">
      <c r="A11" s="911" t="s">
        <v>355</v>
      </c>
      <c r="B11" s="817"/>
      <c r="C11" s="817">
        <v>650557</v>
      </c>
      <c r="D11" s="817"/>
      <c r="E11" s="817"/>
      <c r="F11" s="817"/>
      <c r="G11" s="817"/>
      <c r="H11" s="817"/>
      <c r="I11" s="817"/>
      <c r="J11" s="817">
        <v>1382</v>
      </c>
      <c r="K11" s="817">
        <v>2086</v>
      </c>
      <c r="L11" s="817"/>
      <c r="M11" s="817"/>
      <c r="N11" s="817"/>
      <c r="O11" s="817"/>
      <c r="P11" s="817"/>
      <c r="Q11" s="817"/>
      <c r="R11" s="817"/>
      <c r="S11" s="817"/>
      <c r="T11" s="910"/>
      <c r="U11" s="160"/>
      <c r="V11" s="161"/>
      <c r="W11" s="817"/>
      <c r="X11" s="848"/>
      <c r="Y11" s="161">
        <f t="shared" si="0"/>
        <v>654025</v>
      </c>
      <c r="Z11" s="817">
        <v>10620501</v>
      </c>
      <c r="AA11" s="817">
        <f t="shared" si="1"/>
        <v>11274526</v>
      </c>
    </row>
    <row r="12" spans="1:27" ht="12.75">
      <c r="A12" s="911" t="s">
        <v>465</v>
      </c>
      <c r="B12" s="817"/>
      <c r="C12" s="817"/>
      <c r="D12" s="817"/>
      <c r="E12" s="817"/>
      <c r="F12" s="817"/>
      <c r="G12" s="817"/>
      <c r="H12" s="817"/>
      <c r="I12" s="817"/>
      <c r="J12" s="817"/>
      <c r="K12" s="817"/>
      <c r="L12" s="817"/>
      <c r="M12" s="817"/>
      <c r="N12" s="817"/>
      <c r="O12" s="817"/>
      <c r="P12" s="817"/>
      <c r="Q12" s="817"/>
      <c r="R12" s="817"/>
      <c r="S12" s="817"/>
      <c r="T12" s="910"/>
      <c r="U12" s="160"/>
      <c r="V12" s="161"/>
      <c r="W12" s="817"/>
      <c r="X12" s="848"/>
      <c r="Y12" s="161"/>
      <c r="Z12" s="817">
        <v>-130375804</v>
      </c>
      <c r="AA12" s="817"/>
    </row>
    <row r="13" spans="1:27" ht="14.25">
      <c r="A13" s="199" t="s">
        <v>57</v>
      </c>
      <c r="B13" s="817">
        <f>B9</f>
        <v>1140600</v>
      </c>
      <c r="C13" s="1248">
        <f>C9+C11</f>
        <v>657564</v>
      </c>
      <c r="D13" s="817"/>
      <c r="E13" s="817">
        <f>E9</f>
        <v>3184129</v>
      </c>
      <c r="F13" s="817">
        <f>F9</f>
        <v>106510</v>
      </c>
      <c r="G13" s="817">
        <f>SUM(G5:G11)</f>
        <v>4350</v>
      </c>
      <c r="H13" s="817">
        <f>SUM(H5:H11)</f>
        <v>193360</v>
      </c>
      <c r="I13" s="817">
        <f>SUM(I5:I11)</f>
        <v>52716</v>
      </c>
      <c r="J13" s="817">
        <f>SUM(J5:J11)</f>
        <v>3713149</v>
      </c>
      <c r="K13" s="817">
        <v>106580</v>
      </c>
      <c r="L13" s="817">
        <f>SUM(L5:L11)</f>
        <v>795911</v>
      </c>
      <c r="M13" s="817">
        <f>SUM(M5:M11)</f>
        <v>2701858</v>
      </c>
      <c r="N13" s="817">
        <f>SUM(N5:N11)</f>
        <v>39111</v>
      </c>
      <c r="O13" s="817">
        <f>SUM(O5:O11)</f>
        <v>68111</v>
      </c>
      <c r="P13" s="817">
        <f>SUM(P5:P11)</f>
        <v>882079</v>
      </c>
      <c r="Q13" s="817">
        <f>Q9</f>
        <v>3265049</v>
      </c>
      <c r="R13" s="817">
        <f>R9</f>
        <v>459221</v>
      </c>
      <c r="S13" s="817">
        <f>SUM(S5:S11)</f>
        <v>352119</v>
      </c>
      <c r="T13" s="910"/>
      <c r="U13" s="160">
        <f>SUM(U5:U11)</f>
        <v>1725047</v>
      </c>
      <c r="V13" s="161">
        <f>SUM(V5:V11)</f>
        <v>223353</v>
      </c>
      <c r="W13" s="817">
        <f>SUM(W5:W11)</f>
        <v>84346</v>
      </c>
      <c r="X13" s="848">
        <f>X9</f>
        <v>3590429</v>
      </c>
      <c r="Y13" s="161">
        <f t="shared" si="0"/>
        <v>23345592</v>
      </c>
      <c r="Z13" s="817">
        <f>SUM(Z6:Z12)</f>
        <v>1043225502</v>
      </c>
      <c r="AA13" s="817">
        <f t="shared" si="1"/>
        <v>1066571094</v>
      </c>
    </row>
    <row r="14" spans="1:27" ht="14.25">
      <c r="A14" s="199" t="s">
        <v>356</v>
      </c>
      <c r="B14" s="817"/>
      <c r="C14" s="817"/>
      <c r="D14" s="817"/>
      <c r="E14" s="817"/>
      <c r="F14" s="817"/>
      <c r="G14" s="817"/>
      <c r="H14" s="817"/>
      <c r="I14" s="817"/>
      <c r="J14" s="817"/>
      <c r="K14" s="817"/>
      <c r="L14" s="817"/>
      <c r="M14" s="817"/>
      <c r="N14" s="817"/>
      <c r="O14" s="817"/>
      <c r="P14" s="817"/>
      <c r="Q14" s="817"/>
      <c r="R14" s="817"/>
      <c r="S14" s="817"/>
      <c r="T14" s="910"/>
      <c r="U14" s="160"/>
      <c r="V14" s="161"/>
      <c r="W14" s="817"/>
      <c r="X14" s="848"/>
      <c r="Y14" s="161">
        <f t="shared" si="0"/>
        <v>0</v>
      </c>
      <c r="Z14" s="817"/>
      <c r="AA14" s="817">
        <f t="shared" si="1"/>
        <v>0</v>
      </c>
    </row>
    <row r="15" spans="1:27" ht="12.75">
      <c r="A15" s="158" t="s">
        <v>357</v>
      </c>
      <c r="B15" s="817"/>
      <c r="C15" s="817"/>
      <c r="D15" s="817"/>
      <c r="E15" s="817"/>
      <c r="F15" s="817"/>
      <c r="G15" s="817"/>
      <c r="H15" s="817"/>
      <c r="I15" s="817"/>
      <c r="J15" s="817"/>
      <c r="K15" s="817"/>
      <c r="L15" s="817"/>
      <c r="M15" s="817"/>
      <c r="N15" s="817"/>
      <c r="O15" s="817"/>
      <c r="P15" s="817"/>
      <c r="Q15" s="817"/>
      <c r="R15" s="817"/>
      <c r="S15" s="817"/>
      <c r="T15" s="910"/>
      <c r="U15" s="160"/>
      <c r="V15" s="161"/>
      <c r="W15" s="817"/>
      <c r="X15" s="848"/>
      <c r="Y15" s="161">
        <f t="shared" si="0"/>
        <v>0</v>
      </c>
      <c r="Z15" s="817">
        <v>34066976</v>
      </c>
      <c r="AA15" s="817">
        <f t="shared" si="1"/>
        <v>34066976</v>
      </c>
    </row>
    <row r="16" spans="1:27" ht="12.75">
      <c r="A16" s="158" t="s">
        <v>358</v>
      </c>
      <c r="B16" s="817"/>
      <c r="C16" s="1248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>
        <v>100000</v>
      </c>
      <c r="Q16" s="817"/>
      <c r="R16" s="817"/>
      <c r="S16" s="817"/>
      <c r="T16" s="910"/>
      <c r="U16" s="160">
        <v>1282350</v>
      </c>
      <c r="V16" s="161"/>
      <c r="W16" s="817"/>
      <c r="X16" s="848"/>
      <c r="Y16" s="161">
        <f t="shared" si="0"/>
        <v>1382350</v>
      </c>
      <c r="Z16" s="817"/>
      <c r="AA16" s="817">
        <f t="shared" si="1"/>
        <v>1382350</v>
      </c>
    </row>
    <row r="17" spans="1:27" ht="12.75">
      <c r="A17" s="158" t="s">
        <v>359</v>
      </c>
      <c r="B17" s="817"/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7"/>
      <c r="R17" s="817"/>
      <c r="S17" s="817"/>
      <c r="T17" s="910"/>
      <c r="U17" s="160"/>
      <c r="V17" s="161"/>
      <c r="W17" s="817"/>
      <c r="X17" s="848"/>
      <c r="Y17" s="161">
        <f t="shared" si="0"/>
        <v>0</v>
      </c>
      <c r="Z17" s="817"/>
      <c r="AA17" s="817">
        <f t="shared" si="1"/>
        <v>0</v>
      </c>
    </row>
    <row r="18" spans="1:27" ht="12.75">
      <c r="A18" s="158" t="s">
        <v>360</v>
      </c>
      <c r="B18" s="817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>
        <v>470768</v>
      </c>
      <c r="Q18" s="817"/>
      <c r="R18" s="817"/>
      <c r="S18" s="817"/>
      <c r="T18" s="910"/>
      <c r="U18" s="160"/>
      <c r="V18" s="161"/>
      <c r="W18" s="817"/>
      <c r="X18" s="848"/>
      <c r="Y18" s="161">
        <f t="shared" si="0"/>
        <v>470768</v>
      </c>
      <c r="Z18" s="817">
        <v>159192980</v>
      </c>
      <c r="AA18" s="817">
        <f t="shared" si="1"/>
        <v>159663748</v>
      </c>
    </row>
    <row r="19" spans="1:27" ht="12.75">
      <c r="A19" s="158" t="s">
        <v>361</v>
      </c>
      <c r="B19" s="817">
        <f>B9</f>
        <v>1140600</v>
      </c>
      <c r="C19" s="817">
        <v>7007</v>
      </c>
      <c r="D19" s="817"/>
      <c r="E19" s="817">
        <f>E9</f>
        <v>3184129</v>
      </c>
      <c r="F19" s="817">
        <f>F9</f>
        <v>106510</v>
      </c>
      <c r="G19" s="817">
        <v>4350</v>
      </c>
      <c r="H19" s="817">
        <v>193360</v>
      </c>
      <c r="I19" s="817">
        <f>I9</f>
        <v>47715</v>
      </c>
      <c r="J19" s="817">
        <v>3711767</v>
      </c>
      <c r="K19" s="817">
        <v>104494</v>
      </c>
      <c r="L19" s="817">
        <v>795904</v>
      </c>
      <c r="M19" s="817">
        <f>M13</f>
        <v>2701858</v>
      </c>
      <c r="N19" s="817">
        <f>N13</f>
        <v>39111</v>
      </c>
      <c r="O19" s="817">
        <f>O13</f>
        <v>68111</v>
      </c>
      <c r="P19" s="817">
        <v>311311</v>
      </c>
      <c r="Q19" s="817">
        <f>Q13</f>
        <v>3265049</v>
      </c>
      <c r="R19" s="817">
        <f>R9</f>
        <v>459221</v>
      </c>
      <c r="S19" s="817">
        <f>S13</f>
        <v>352119</v>
      </c>
      <c r="T19" s="910"/>
      <c r="U19" s="160">
        <v>442697</v>
      </c>
      <c r="V19" s="161">
        <v>223353</v>
      </c>
      <c r="W19" s="817">
        <f>W13</f>
        <v>84346</v>
      </c>
      <c r="X19" s="848">
        <f>X9</f>
        <v>3590429</v>
      </c>
      <c r="Y19" s="161">
        <f t="shared" si="0"/>
        <v>20833441</v>
      </c>
      <c r="Z19" s="817">
        <v>920875441</v>
      </c>
      <c r="AA19" s="817">
        <f t="shared" si="1"/>
        <v>941708882</v>
      </c>
    </row>
    <row r="20" spans="1:27" ht="12.75">
      <c r="A20" s="158" t="s">
        <v>362</v>
      </c>
      <c r="B20" s="817"/>
      <c r="C20" s="817">
        <v>650557</v>
      </c>
      <c r="D20" s="817"/>
      <c r="E20" s="817"/>
      <c r="F20" s="817"/>
      <c r="G20" s="817"/>
      <c r="H20" s="817"/>
      <c r="I20" s="817">
        <f>I10</f>
        <v>5001</v>
      </c>
      <c r="J20" s="817">
        <v>1382</v>
      </c>
      <c r="K20" s="817">
        <v>2086</v>
      </c>
      <c r="L20" s="817">
        <v>7</v>
      </c>
      <c r="M20" s="817"/>
      <c r="N20" s="817"/>
      <c r="O20" s="817"/>
      <c r="P20" s="817"/>
      <c r="Q20" s="817"/>
      <c r="R20" s="817"/>
      <c r="S20" s="817"/>
      <c r="T20" s="910"/>
      <c r="U20" s="160"/>
      <c r="V20" s="161"/>
      <c r="W20" s="817"/>
      <c r="X20" s="848"/>
      <c r="Y20" s="161">
        <f t="shared" si="0"/>
        <v>659033</v>
      </c>
      <c r="Z20" s="817">
        <f>3638471+708800+26020004+4463297+1066667+23568606+2+62</f>
        <v>59465909</v>
      </c>
      <c r="AA20" s="817">
        <f t="shared" si="1"/>
        <v>60124942</v>
      </c>
    </row>
    <row r="21" spans="1:27" ht="12.75">
      <c r="A21" s="911" t="s">
        <v>465</v>
      </c>
      <c r="B21" s="817"/>
      <c r="C21" s="817"/>
      <c r="D21" s="817"/>
      <c r="E21" s="817"/>
      <c r="F21" s="817"/>
      <c r="G21" s="817"/>
      <c r="H21" s="817"/>
      <c r="I21" s="817"/>
      <c r="J21" s="817"/>
      <c r="K21" s="817"/>
      <c r="L21" s="817"/>
      <c r="M21" s="817"/>
      <c r="N21" s="817"/>
      <c r="O21" s="817"/>
      <c r="P21" s="817"/>
      <c r="Q21" s="817"/>
      <c r="R21" s="817"/>
      <c r="S21" s="817"/>
      <c r="T21" s="910"/>
      <c r="U21" s="160"/>
      <c r="V21" s="161"/>
      <c r="W21" s="817"/>
      <c r="X21" s="848"/>
      <c r="Y21" s="161"/>
      <c r="Z21" s="817">
        <v>-130375804</v>
      </c>
      <c r="AA21" s="817"/>
    </row>
    <row r="22" spans="1:27" ht="14.25">
      <c r="A22" s="199" t="s">
        <v>57</v>
      </c>
      <c r="B22" s="817">
        <f>B9</f>
        <v>1140600</v>
      </c>
      <c r="C22" s="1248">
        <f>C19+C20</f>
        <v>657564</v>
      </c>
      <c r="D22" s="817"/>
      <c r="E22" s="817">
        <f>E19</f>
        <v>3184129</v>
      </c>
      <c r="F22" s="817">
        <f>F9</f>
        <v>106510</v>
      </c>
      <c r="G22" s="817">
        <v>4350</v>
      </c>
      <c r="H22" s="817">
        <f>H19</f>
        <v>193360</v>
      </c>
      <c r="I22" s="817">
        <f>I13</f>
        <v>52716</v>
      </c>
      <c r="J22" s="817">
        <f>J13</f>
        <v>3713149</v>
      </c>
      <c r="K22" s="817">
        <v>106580</v>
      </c>
      <c r="L22" s="817">
        <f>L13</f>
        <v>795911</v>
      </c>
      <c r="M22" s="817">
        <f>M13</f>
        <v>2701858</v>
      </c>
      <c r="N22" s="817">
        <f>N19</f>
        <v>39111</v>
      </c>
      <c r="O22" s="817">
        <f>O19</f>
        <v>68111</v>
      </c>
      <c r="P22" s="817">
        <f>P13</f>
        <v>882079</v>
      </c>
      <c r="Q22" s="817">
        <f>Q19</f>
        <v>3265049</v>
      </c>
      <c r="R22" s="817">
        <f>R9</f>
        <v>459221</v>
      </c>
      <c r="S22" s="817">
        <f>S19</f>
        <v>352119</v>
      </c>
      <c r="T22" s="910"/>
      <c r="U22" s="160">
        <f>U13</f>
        <v>1725047</v>
      </c>
      <c r="V22" s="161">
        <f>V9</f>
        <v>223353</v>
      </c>
      <c r="W22" s="817">
        <f>W19</f>
        <v>84346</v>
      </c>
      <c r="X22" s="848">
        <f>X9</f>
        <v>3590429</v>
      </c>
      <c r="Y22" s="161">
        <f t="shared" si="0"/>
        <v>23345592</v>
      </c>
      <c r="Z22" s="817">
        <v>1043225502</v>
      </c>
      <c r="AA22" s="817">
        <f t="shared" si="1"/>
        <v>1066571094</v>
      </c>
    </row>
    <row r="23" spans="1:27" ht="14.25">
      <c r="A23" s="199" t="s">
        <v>363</v>
      </c>
      <c r="B23" s="817"/>
      <c r="C23" s="817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817"/>
      <c r="O23" s="817"/>
      <c r="P23" s="817"/>
      <c r="Q23" s="817"/>
      <c r="R23" s="817"/>
      <c r="S23" s="817"/>
      <c r="T23" s="910"/>
      <c r="U23" s="160"/>
      <c r="V23" s="161"/>
      <c r="W23" s="817"/>
      <c r="X23" s="848"/>
      <c r="Y23" s="161">
        <f t="shared" si="0"/>
        <v>0</v>
      </c>
      <c r="Z23" s="817"/>
      <c r="AA23" s="817">
        <f t="shared" si="1"/>
        <v>0</v>
      </c>
    </row>
    <row r="24" spans="1:27" ht="12.75">
      <c r="A24" s="158" t="s">
        <v>364</v>
      </c>
      <c r="B24" s="817"/>
      <c r="C24" s="817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7"/>
      <c r="O24" s="817"/>
      <c r="P24" s="817"/>
      <c r="Q24" s="817"/>
      <c r="R24" s="817"/>
      <c r="S24" s="817"/>
      <c r="T24" s="910"/>
      <c r="U24" s="160"/>
      <c r="V24" s="161"/>
      <c r="W24" s="817"/>
      <c r="X24" s="848"/>
      <c r="Y24" s="161">
        <f t="shared" si="0"/>
        <v>0</v>
      </c>
      <c r="Z24" s="817"/>
      <c r="AA24" s="817">
        <f t="shared" si="1"/>
        <v>0</v>
      </c>
    </row>
    <row r="25" spans="1:27" ht="12.75">
      <c r="A25" s="158" t="s">
        <v>365</v>
      </c>
      <c r="B25" s="817">
        <f>B9</f>
        <v>1140600</v>
      </c>
      <c r="C25" s="1248">
        <f>C22</f>
        <v>657564</v>
      </c>
      <c r="D25" s="817"/>
      <c r="E25" s="817">
        <f>E22</f>
        <v>3184129</v>
      </c>
      <c r="F25" s="817">
        <f>F9</f>
        <v>106510</v>
      </c>
      <c r="G25" s="817">
        <v>4350</v>
      </c>
      <c r="H25" s="817">
        <f>H19</f>
        <v>193360</v>
      </c>
      <c r="I25" s="817">
        <f>I22</f>
        <v>52716</v>
      </c>
      <c r="J25" s="817">
        <f>J22</f>
        <v>3713149</v>
      </c>
      <c r="K25" s="817">
        <f>K22</f>
        <v>106580</v>
      </c>
      <c r="L25" s="817">
        <f aca="true" t="shared" si="2" ref="L25:Q25">L22</f>
        <v>795911</v>
      </c>
      <c r="M25" s="817">
        <f t="shared" si="2"/>
        <v>2701858</v>
      </c>
      <c r="N25" s="817">
        <f t="shared" si="2"/>
        <v>39111</v>
      </c>
      <c r="O25" s="817">
        <f t="shared" si="2"/>
        <v>68111</v>
      </c>
      <c r="P25" s="817">
        <f t="shared" si="2"/>
        <v>882079</v>
      </c>
      <c r="Q25" s="817">
        <f t="shared" si="2"/>
        <v>3265049</v>
      </c>
      <c r="R25" s="817">
        <f>R9</f>
        <v>459221</v>
      </c>
      <c r="S25" s="817">
        <f>S22</f>
        <v>352119</v>
      </c>
      <c r="T25" s="910"/>
      <c r="U25" s="160">
        <f>U22</f>
        <v>1725047</v>
      </c>
      <c r="V25" s="161">
        <f>V9</f>
        <v>223353</v>
      </c>
      <c r="W25" s="817">
        <f>W22</f>
        <v>84346</v>
      </c>
      <c r="X25" s="848">
        <f>X9</f>
        <v>3590429</v>
      </c>
      <c r="Y25" s="161">
        <f t="shared" si="0"/>
        <v>23345592</v>
      </c>
      <c r="Z25" s="817">
        <v>1037880483</v>
      </c>
      <c r="AA25" s="817">
        <f t="shared" si="1"/>
        <v>1061226075</v>
      </c>
    </row>
    <row r="26" spans="1:27" ht="12.75">
      <c r="A26" s="158" t="s">
        <v>366</v>
      </c>
      <c r="B26" s="817"/>
      <c r="C26" s="817"/>
      <c r="D26" s="817"/>
      <c r="E26" s="817"/>
      <c r="F26" s="817"/>
      <c r="G26" s="817"/>
      <c r="H26" s="817"/>
      <c r="I26" s="817"/>
      <c r="J26" s="817"/>
      <c r="K26" s="817"/>
      <c r="L26" s="817"/>
      <c r="M26" s="817"/>
      <c r="N26" s="817"/>
      <c r="O26" s="817"/>
      <c r="P26" s="817"/>
      <c r="Q26" s="817"/>
      <c r="R26" s="817"/>
      <c r="S26" s="817"/>
      <c r="T26" s="910"/>
      <c r="U26" s="160"/>
      <c r="V26" s="161"/>
      <c r="W26" s="817"/>
      <c r="X26" s="848"/>
      <c r="Y26" s="161">
        <f t="shared" si="0"/>
        <v>0</v>
      </c>
      <c r="Z26" s="817">
        <v>1775345</v>
      </c>
      <c r="AA26" s="817">
        <f t="shared" si="1"/>
        <v>1775345</v>
      </c>
    </row>
    <row r="27" spans="1:27" ht="12.75">
      <c r="A27" s="911" t="s">
        <v>467</v>
      </c>
      <c r="B27" s="817"/>
      <c r="C27" s="817"/>
      <c r="D27" s="817"/>
      <c r="E27" s="817"/>
      <c r="F27" s="817"/>
      <c r="G27" s="817"/>
      <c r="H27" s="817"/>
      <c r="I27" s="817"/>
      <c r="J27" s="817"/>
      <c r="K27" s="817"/>
      <c r="L27" s="817"/>
      <c r="M27" s="817"/>
      <c r="N27" s="817"/>
      <c r="O27" s="817"/>
      <c r="P27" s="817"/>
      <c r="Q27" s="817"/>
      <c r="R27" s="817"/>
      <c r="S27" s="817"/>
      <c r="T27" s="910"/>
      <c r="U27" s="160"/>
      <c r="V27" s="161"/>
      <c r="W27" s="817"/>
      <c r="X27" s="848"/>
      <c r="Y27" s="161"/>
      <c r="Z27" s="817">
        <v>-4157784</v>
      </c>
      <c r="AA27" s="817"/>
    </row>
    <row r="28" spans="1:27" ht="12.75">
      <c r="A28" s="158" t="s">
        <v>367</v>
      </c>
      <c r="B28" s="817"/>
      <c r="C28" s="817"/>
      <c r="D28" s="817"/>
      <c r="E28" s="817"/>
      <c r="F28" s="817"/>
      <c r="G28" s="817"/>
      <c r="H28" s="817"/>
      <c r="I28" s="817"/>
      <c r="J28" s="817"/>
      <c r="K28" s="817"/>
      <c r="L28" s="817"/>
      <c r="M28" s="817"/>
      <c r="N28" s="817"/>
      <c r="O28" s="817"/>
      <c r="P28" s="817"/>
      <c r="Q28" s="817"/>
      <c r="R28" s="817"/>
      <c r="S28" s="817"/>
      <c r="T28" s="910"/>
      <c r="U28" s="160"/>
      <c r="V28" s="161"/>
      <c r="W28" s="817"/>
      <c r="X28" s="848"/>
      <c r="Y28" s="161">
        <f t="shared" si="0"/>
        <v>0</v>
      </c>
      <c r="Z28" s="817"/>
      <c r="AA28" s="817">
        <f t="shared" si="1"/>
        <v>0</v>
      </c>
    </row>
    <row r="29" spans="1:27" ht="12.75">
      <c r="A29" s="158" t="s">
        <v>365</v>
      </c>
      <c r="B29" s="817"/>
      <c r="C29" s="817"/>
      <c r="D29" s="817"/>
      <c r="E29" s="817"/>
      <c r="F29" s="817"/>
      <c r="G29" s="817"/>
      <c r="H29" s="817"/>
      <c r="I29" s="817"/>
      <c r="J29" s="817"/>
      <c r="K29" s="817"/>
      <c r="L29" s="817"/>
      <c r="M29" s="817"/>
      <c r="N29" s="817"/>
      <c r="O29" s="817"/>
      <c r="P29" s="817"/>
      <c r="Q29" s="817"/>
      <c r="R29" s="817"/>
      <c r="S29" s="817"/>
      <c r="T29" s="910"/>
      <c r="U29" s="160"/>
      <c r="V29" s="161"/>
      <c r="W29" s="817"/>
      <c r="X29" s="848"/>
      <c r="Y29" s="161">
        <f t="shared" si="0"/>
        <v>0</v>
      </c>
      <c r="Z29" s="817">
        <v>133805156</v>
      </c>
      <c r="AA29" s="817">
        <f t="shared" si="1"/>
        <v>133805156</v>
      </c>
    </row>
    <row r="30" spans="1:27" ht="12.75">
      <c r="A30" s="158" t="s">
        <v>368</v>
      </c>
      <c r="B30" s="817"/>
      <c r="C30" s="817"/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7"/>
      <c r="P30" s="817"/>
      <c r="Q30" s="817"/>
      <c r="R30" s="817"/>
      <c r="S30" s="817"/>
      <c r="T30" s="910"/>
      <c r="U30" s="160"/>
      <c r="V30" s="161"/>
      <c r="W30" s="817"/>
      <c r="X30" s="848"/>
      <c r="Y30" s="161">
        <f t="shared" si="0"/>
        <v>0</v>
      </c>
      <c r="Z30" s="817">
        <v>140322</v>
      </c>
      <c r="AA30" s="817">
        <f t="shared" si="1"/>
        <v>140322</v>
      </c>
    </row>
    <row r="31" spans="1:27" ht="12.75">
      <c r="A31" s="911" t="s">
        <v>466</v>
      </c>
      <c r="B31" s="817"/>
      <c r="C31" s="817"/>
      <c r="D31" s="817"/>
      <c r="E31" s="817"/>
      <c r="F31" s="817"/>
      <c r="G31" s="817"/>
      <c r="H31" s="817"/>
      <c r="I31" s="817"/>
      <c r="J31" s="817"/>
      <c r="K31" s="817"/>
      <c r="L31" s="817"/>
      <c r="M31" s="817"/>
      <c r="N31" s="817"/>
      <c r="O31" s="817"/>
      <c r="P31" s="817"/>
      <c r="Q31" s="817"/>
      <c r="R31" s="817"/>
      <c r="S31" s="817"/>
      <c r="T31" s="910"/>
      <c r="U31" s="160"/>
      <c r="V31" s="161"/>
      <c r="W31" s="817"/>
      <c r="X31" s="848"/>
      <c r="Y31" s="161"/>
      <c r="Z31" s="817">
        <v>-126218020</v>
      </c>
      <c r="AA31" s="817"/>
    </row>
    <row r="32" spans="1:27" ht="14.25">
      <c r="A32" s="199" t="s">
        <v>57</v>
      </c>
      <c r="B32" s="817">
        <f>B25</f>
        <v>1140600</v>
      </c>
      <c r="C32" s="1248">
        <f>C25</f>
        <v>657564</v>
      </c>
      <c r="D32" s="817"/>
      <c r="E32" s="817">
        <f>E25</f>
        <v>3184129</v>
      </c>
      <c r="F32" s="817">
        <f>F9</f>
        <v>106510</v>
      </c>
      <c r="G32" s="817">
        <v>4350</v>
      </c>
      <c r="H32" s="817">
        <f>H25</f>
        <v>193360</v>
      </c>
      <c r="I32" s="817">
        <f>I25</f>
        <v>52716</v>
      </c>
      <c r="J32" s="817">
        <f>J25</f>
        <v>3713149</v>
      </c>
      <c r="K32" s="817">
        <f>K22</f>
        <v>106580</v>
      </c>
      <c r="L32" s="817">
        <f aca="true" t="shared" si="3" ref="L32:Q32">L25</f>
        <v>795911</v>
      </c>
      <c r="M32" s="817">
        <f t="shared" si="3"/>
        <v>2701858</v>
      </c>
      <c r="N32" s="817">
        <f t="shared" si="3"/>
        <v>39111</v>
      </c>
      <c r="O32" s="817">
        <f t="shared" si="3"/>
        <v>68111</v>
      </c>
      <c r="P32" s="817">
        <f t="shared" si="3"/>
        <v>882079</v>
      </c>
      <c r="Q32" s="817">
        <f t="shared" si="3"/>
        <v>3265049</v>
      </c>
      <c r="R32" s="817">
        <f>R9</f>
        <v>459221</v>
      </c>
      <c r="S32" s="817">
        <f>S25</f>
        <v>352119</v>
      </c>
      <c r="T32" s="910"/>
      <c r="U32" s="160">
        <f>U25</f>
        <v>1725047</v>
      </c>
      <c r="V32" s="161">
        <f>V9</f>
        <v>223353</v>
      </c>
      <c r="W32" s="817">
        <f>W25</f>
        <v>84346</v>
      </c>
      <c r="X32" s="848">
        <f>X9</f>
        <v>3590429</v>
      </c>
      <c r="Y32" s="161">
        <f t="shared" si="0"/>
        <v>23345592</v>
      </c>
      <c r="Z32" s="817">
        <v>1043225502</v>
      </c>
      <c r="AA32" s="817">
        <f t="shared" si="1"/>
        <v>1066571094</v>
      </c>
    </row>
    <row r="33" spans="1:27" ht="14.25">
      <c r="A33" s="199" t="s">
        <v>369</v>
      </c>
      <c r="B33" s="817"/>
      <c r="C33" s="817"/>
      <c r="D33" s="817"/>
      <c r="E33" s="817"/>
      <c r="F33" s="817"/>
      <c r="G33" s="817"/>
      <c r="H33" s="817"/>
      <c r="I33" s="817"/>
      <c r="J33" s="817"/>
      <c r="K33" s="817"/>
      <c r="L33" s="817"/>
      <c r="M33" s="817"/>
      <c r="N33" s="817"/>
      <c r="O33" s="817"/>
      <c r="P33" s="817"/>
      <c r="Q33" s="817"/>
      <c r="R33" s="817"/>
      <c r="S33" s="817"/>
      <c r="T33" s="910"/>
      <c r="U33" s="160"/>
      <c r="V33" s="161"/>
      <c r="W33" s="817"/>
      <c r="X33" s="848"/>
      <c r="Y33" s="161">
        <f t="shared" si="0"/>
        <v>0</v>
      </c>
      <c r="Z33" s="817"/>
      <c r="AA33" s="817">
        <f t="shared" si="1"/>
        <v>0</v>
      </c>
    </row>
    <row r="34" spans="1:27" ht="12.75">
      <c r="A34" s="158" t="s">
        <v>370</v>
      </c>
      <c r="B34" s="817">
        <v>1268</v>
      </c>
      <c r="C34" s="817"/>
      <c r="D34" s="817"/>
      <c r="E34" s="817">
        <v>146579</v>
      </c>
      <c r="F34" s="817"/>
      <c r="G34" s="817"/>
      <c r="H34" s="817"/>
      <c r="I34" s="817"/>
      <c r="J34" s="817">
        <v>4666</v>
      </c>
      <c r="K34" s="817"/>
      <c r="L34" s="817">
        <v>227650</v>
      </c>
      <c r="M34" s="817">
        <v>32849</v>
      </c>
      <c r="N34" s="817"/>
      <c r="O34" s="817"/>
      <c r="P34" s="817">
        <v>125552</v>
      </c>
      <c r="Q34" s="817">
        <v>65599</v>
      </c>
      <c r="R34" s="817">
        <v>50790</v>
      </c>
      <c r="S34" s="817">
        <v>6992</v>
      </c>
      <c r="T34" s="910"/>
      <c r="U34" s="160">
        <v>65564</v>
      </c>
      <c r="V34" s="161"/>
      <c r="W34" s="817"/>
      <c r="X34" s="848"/>
      <c r="Y34" s="161">
        <f t="shared" si="0"/>
        <v>727509</v>
      </c>
      <c r="Z34" s="817"/>
      <c r="AA34" s="817">
        <f t="shared" si="1"/>
        <v>727509</v>
      </c>
    </row>
    <row r="35" spans="1:27" ht="12.75">
      <c r="A35" s="158" t="s">
        <v>469</v>
      </c>
      <c r="B35" s="1241"/>
      <c r="C35" s="1241"/>
      <c r="D35" s="1241"/>
      <c r="E35" s="1241"/>
      <c r="F35" s="1241"/>
      <c r="G35" s="1241"/>
      <c r="H35" s="1241"/>
      <c r="I35" s="1241"/>
      <c r="J35" s="1241"/>
      <c r="K35" s="1241"/>
      <c r="L35" s="1241"/>
      <c r="M35" s="1241"/>
      <c r="N35" s="1241"/>
      <c r="O35" s="1241"/>
      <c r="P35" s="1241"/>
      <c r="Q35" s="1241"/>
      <c r="R35" s="1241"/>
      <c r="S35" s="1241"/>
      <c r="T35" s="1005"/>
      <c r="U35" s="1239"/>
      <c r="V35" s="1240"/>
      <c r="W35" s="1241"/>
      <c r="X35" s="1242"/>
      <c r="Y35" s="161"/>
      <c r="Z35" s="1241">
        <v>29632657</v>
      </c>
      <c r="AA35" s="817"/>
    </row>
    <row r="36" spans="1:27" ht="12.75">
      <c r="A36" s="158" t="s">
        <v>468</v>
      </c>
      <c r="B36" s="1241"/>
      <c r="C36" s="1241"/>
      <c r="D36" s="1241"/>
      <c r="E36" s="1241"/>
      <c r="F36" s="1241"/>
      <c r="G36" s="1241"/>
      <c r="H36" s="1241"/>
      <c r="I36" s="1241"/>
      <c r="J36" s="1241"/>
      <c r="K36" s="1241"/>
      <c r="L36" s="1241"/>
      <c r="M36" s="1241"/>
      <c r="N36" s="1241"/>
      <c r="O36" s="1241"/>
      <c r="P36" s="1241"/>
      <c r="Q36" s="1241"/>
      <c r="R36" s="1241"/>
      <c r="S36" s="1241"/>
      <c r="T36" s="1005"/>
      <c r="U36" s="1239"/>
      <c r="V36" s="1240"/>
      <c r="W36" s="1241"/>
      <c r="X36" s="1242"/>
      <c r="Y36" s="161"/>
      <c r="Z36" s="1241">
        <v>46091</v>
      </c>
      <c r="AA36" s="817"/>
    </row>
    <row r="37" spans="1:27" ht="12.75">
      <c r="A37" s="385" t="s">
        <v>470</v>
      </c>
      <c r="B37" s="1241"/>
      <c r="C37" s="1241"/>
      <c r="D37" s="1241"/>
      <c r="E37" s="1241"/>
      <c r="F37" s="1241"/>
      <c r="G37" s="1241"/>
      <c r="H37" s="1241"/>
      <c r="I37" s="1241"/>
      <c r="J37" s="1241"/>
      <c r="K37" s="1241"/>
      <c r="L37" s="1241"/>
      <c r="M37" s="1241"/>
      <c r="N37" s="1241"/>
      <c r="O37" s="1241"/>
      <c r="P37" s="1241"/>
      <c r="Q37" s="1241"/>
      <c r="R37" s="1241"/>
      <c r="S37" s="1241"/>
      <c r="T37" s="1005"/>
      <c r="U37" s="1239"/>
      <c r="V37" s="1240"/>
      <c r="W37" s="1241"/>
      <c r="X37" s="1242"/>
      <c r="Y37" s="161"/>
      <c r="Z37" s="1241">
        <v>-24981372</v>
      </c>
      <c r="AA37" s="817"/>
    </row>
    <row r="38" spans="1:27" ht="12.75">
      <c r="A38" s="385" t="s">
        <v>371</v>
      </c>
      <c r="B38" s="1241">
        <v>1139332</v>
      </c>
      <c r="C38" s="1249">
        <f>C32</f>
        <v>657564</v>
      </c>
      <c r="D38" s="1241"/>
      <c r="E38" s="1241">
        <v>3037550</v>
      </c>
      <c r="F38" s="1241">
        <f>F9</f>
        <v>106510</v>
      </c>
      <c r="G38" s="1241">
        <v>4350</v>
      </c>
      <c r="H38" s="1241">
        <f>H32</f>
        <v>193360</v>
      </c>
      <c r="I38" s="1241">
        <f>I32</f>
        <v>52716</v>
      </c>
      <c r="J38" s="1241">
        <v>3708482</v>
      </c>
      <c r="K38" s="1241"/>
      <c r="L38" s="1241">
        <v>568261</v>
      </c>
      <c r="M38" s="1241">
        <v>2669009</v>
      </c>
      <c r="N38" s="1241">
        <f>N32</f>
        <v>39111</v>
      </c>
      <c r="O38" s="1241">
        <f>O32</f>
        <v>68111</v>
      </c>
      <c r="P38" s="1241">
        <v>756527</v>
      </c>
      <c r="Q38" s="1241">
        <v>3199450</v>
      </c>
      <c r="R38" s="1241">
        <v>408431</v>
      </c>
      <c r="S38" s="1241">
        <v>345127</v>
      </c>
      <c r="T38" s="1005"/>
      <c r="U38" s="1239">
        <v>1659483</v>
      </c>
      <c r="V38" s="1240">
        <f>V9</f>
        <v>223353</v>
      </c>
      <c r="W38" s="1241">
        <f>W32</f>
        <v>84346</v>
      </c>
      <c r="X38" s="1242">
        <f>X9</f>
        <v>3590429</v>
      </c>
      <c r="Y38" s="161">
        <f t="shared" si="0"/>
        <v>22511502</v>
      </c>
      <c r="Z38" s="1241"/>
      <c r="AA38" s="817">
        <f t="shared" si="1"/>
        <v>22511502</v>
      </c>
    </row>
    <row r="39" spans="1:27" ht="12.75">
      <c r="A39" s="158" t="s">
        <v>469</v>
      </c>
      <c r="B39" s="261"/>
      <c r="C39" s="1668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1669"/>
      <c r="U39" s="805"/>
      <c r="V39" s="806"/>
      <c r="W39" s="261"/>
      <c r="X39" s="804"/>
      <c r="Y39" s="161"/>
      <c r="Z39" s="261">
        <v>1142052982</v>
      </c>
      <c r="AA39" s="817"/>
    </row>
    <row r="40" spans="1:27" ht="12.75">
      <c r="A40" s="158" t="s">
        <v>468</v>
      </c>
      <c r="B40" s="261"/>
      <c r="C40" s="1668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1669"/>
      <c r="U40" s="805"/>
      <c r="V40" s="806"/>
      <c r="W40" s="261"/>
      <c r="X40" s="804"/>
      <c r="Y40" s="161"/>
      <c r="Z40" s="261">
        <v>1869576</v>
      </c>
      <c r="AA40" s="817"/>
    </row>
    <row r="41" spans="1:27" ht="13.5" thickBot="1">
      <c r="A41" s="385" t="s">
        <v>471</v>
      </c>
      <c r="B41" s="261"/>
      <c r="C41" s="1668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1669"/>
      <c r="U41" s="805"/>
      <c r="V41" s="806"/>
      <c r="W41" s="261"/>
      <c r="X41" s="804"/>
      <c r="Y41" s="161"/>
      <c r="Z41" s="261">
        <v>-105394432</v>
      </c>
      <c r="AA41" s="817"/>
    </row>
    <row r="42" spans="1:27" s="1131" customFormat="1" ht="15" thickBot="1">
      <c r="A42" s="1112" t="s">
        <v>57</v>
      </c>
      <c r="B42" s="1245">
        <f aca="true" t="shared" si="4" ref="B42:X42">B34+B38</f>
        <v>1140600</v>
      </c>
      <c r="C42" s="1245">
        <f t="shared" si="4"/>
        <v>657564</v>
      </c>
      <c r="D42" s="1245">
        <f t="shared" si="4"/>
        <v>0</v>
      </c>
      <c r="E42" s="1245">
        <f t="shared" si="4"/>
        <v>3184129</v>
      </c>
      <c r="F42" s="1245">
        <f t="shared" si="4"/>
        <v>106510</v>
      </c>
      <c r="G42" s="1245">
        <f t="shared" si="4"/>
        <v>4350</v>
      </c>
      <c r="H42" s="1245">
        <f t="shared" si="4"/>
        <v>193360</v>
      </c>
      <c r="I42" s="1245">
        <f t="shared" si="4"/>
        <v>52716</v>
      </c>
      <c r="J42" s="1245">
        <f t="shared" si="4"/>
        <v>3713148</v>
      </c>
      <c r="K42" s="1245">
        <f t="shared" si="4"/>
        <v>0</v>
      </c>
      <c r="L42" s="1245">
        <f t="shared" si="4"/>
        <v>795911</v>
      </c>
      <c r="M42" s="1245">
        <f t="shared" si="4"/>
        <v>2701858</v>
      </c>
      <c r="N42" s="1245">
        <f t="shared" si="4"/>
        <v>39111</v>
      </c>
      <c r="O42" s="1245">
        <f t="shared" si="4"/>
        <v>68111</v>
      </c>
      <c r="P42" s="1245">
        <f t="shared" si="4"/>
        <v>882079</v>
      </c>
      <c r="Q42" s="1245">
        <f t="shared" si="4"/>
        <v>3265049</v>
      </c>
      <c r="R42" s="1245">
        <f t="shared" si="4"/>
        <v>459221</v>
      </c>
      <c r="S42" s="1245">
        <f t="shared" si="4"/>
        <v>352119</v>
      </c>
      <c r="T42" s="1132">
        <f t="shared" si="4"/>
        <v>0</v>
      </c>
      <c r="U42" s="1243">
        <f t="shared" si="4"/>
        <v>1725047</v>
      </c>
      <c r="V42" s="1244">
        <f t="shared" si="4"/>
        <v>223353</v>
      </c>
      <c r="W42" s="1245">
        <f t="shared" si="4"/>
        <v>84346</v>
      </c>
      <c r="X42" s="1246">
        <f t="shared" si="4"/>
        <v>3590429</v>
      </c>
      <c r="Y42" s="1247">
        <f t="shared" si="0"/>
        <v>23239011</v>
      </c>
      <c r="Z42" s="1245">
        <v>1043225502</v>
      </c>
      <c r="AA42" s="817">
        <f t="shared" si="1"/>
        <v>1066464513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Pande Sandeep</dc:creator>
  <cp:keywords/>
  <dc:description/>
  <cp:lastModifiedBy>Pande Sandeep</cp:lastModifiedBy>
  <dcterms:created xsi:type="dcterms:W3CDTF">2019-02-21T06:27:16Z</dcterms:created>
  <dcterms:modified xsi:type="dcterms:W3CDTF">2019-07-01T04:06:10Z</dcterms:modified>
  <cp:category/>
  <cp:version/>
  <cp:contentType/>
  <cp:contentStatus/>
</cp:coreProperties>
</file>